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ate1904="1"/>
  <mc:AlternateContent xmlns:mc="http://schemas.openxmlformats.org/markup-compatibility/2006">
    <mc:Choice Requires="x15">
      <x15ac:absPath xmlns:x15ac="http://schemas.microsoft.com/office/spreadsheetml/2010/11/ac" url="\\ISQ-SERVER1\GTGData\Model Library\Application Specific\Water Quality and Contaminant Transport\WIP\Air Quality\"/>
    </mc:Choice>
  </mc:AlternateContent>
  <bookViews>
    <workbookView xWindow="0" yWindow="0" windowWidth="17250" windowHeight="12290"/>
  </bookViews>
  <sheets>
    <sheet name="plume.xls" sheetId="1" r:id="rId1"/>
  </sheets>
  <calcPr calcId="171027"/>
</workbook>
</file>

<file path=xl/calcChain.xml><?xml version="1.0" encoding="utf-8"?>
<calcChain xmlns="http://schemas.openxmlformats.org/spreadsheetml/2006/main">
  <c r="E14" i="1" l="1"/>
  <c r="G65" i="1"/>
  <c r="F66" i="1"/>
  <c r="E65" i="1"/>
  <c r="E63" i="1"/>
  <c r="E56" i="1"/>
  <c r="E17" i="1"/>
  <c r="C14" i="1"/>
  <c r="B52" i="1"/>
  <c r="B51" i="1"/>
  <c r="A15" i="1"/>
  <c r="A16" i="1" s="1"/>
  <c r="A17" i="1" s="1"/>
  <c r="A18" i="1" s="1"/>
  <c r="A19" i="1" s="1"/>
  <c r="A20" i="1" s="1"/>
  <c r="A21" i="1" s="1"/>
  <c r="A22" i="1" s="1"/>
  <c r="A23" i="1" s="1"/>
  <c r="B47" i="1"/>
  <c r="B48" i="1"/>
  <c r="B49" i="1"/>
  <c r="B50" i="1" s="1"/>
  <c r="F56" i="1"/>
  <c r="G56" i="1"/>
  <c r="H56" i="1"/>
  <c r="I56" i="1"/>
  <c r="J56" i="1"/>
  <c r="K56" i="1"/>
  <c r="L56" i="1"/>
  <c r="M56" i="1"/>
  <c r="N56" i="1"/>
  <c r="O56" i="1"/>
  <c r="E57" i="1"/>
  <c r="F57" i="1"/>
  <c r="G57" i="1"/>
  <c r="H57" i="1"/>
  <c r="I57" i="1"/>
  <c r="J57" i="1"/>
  <c r="K57" i="1"/>
  <c r="L57" i="1"/>
  <c r="M57" i="1"/>
  <c r="N57" i="1"/>
  <c r="O57" i="1"/>
  <c r="E58" i="1"/>
  <c r="F58" i="1"/>
  <c r="G58" i="1"/>
  <c r="H58" i="1"/>
  <c r="I58" i="1"/>
  <c r="J58" i="1"/>
  <c r="K58" i="1"/>
  <c r="L58" i="1"/>
  <c r="M58" i="1"/>
  <c r="N58" i="1"/>
  <c r="O58" i="1"/>
  <c r="E59" i="1"/>
  <c r="F59" i="1"/>
  <c r="G59" i="1"/>
  <c r="H59" i="1"/>
  <c r="I59" i="1"/>
  <c r="J59" i="1"/>
  <c r="K59" i="1"/>
  <c r="L59" i="1"/>
  <c r="M59" i="1"/>
  <c r="N59" i="1"/>
  <c r="O59" i="1"/>
  <c r="E60" i="1"/>
  <c r="F60" i="1"/>
  <c r="G60" i="1"/>
  <c r="H60" i="1"/>
  <c r="I60" i="1"/>
  <c r="J60" i="1"/>
  <c r="K60" i="1"/>
  <c r="L60" i="1"/>
  <c r="M60" i="1"/>
  <c r="N60" i="1"/>
  <c r="O60" i="1"/>
  <c r="E61" i="1"/>
  <c r="F61" i="1"/>
  <c r="G61" i="1"/>
  <c r="H61" i="1"/>
  <c r="I61" i="1"/>
  <c r="J61" i="1"/>
  <c r="K61" i="1"/>
  <c r="L61" i="1"/>
  <c r="M61" i="1"/>
  <c r="N61" i="1"/>
  <c r="O61" i="1"/>
  <c r="F63" i="1"/>
  <c r="G63" i="1"/>
  <c r="H63" i="1"/>
  <c r="I63" i="1"/>
  <c r="J63" i="1"/>
  <c r="K63" i="1"/>
  <c r="L63" i="1"/>
  <c r="M63" i="1"/>
  <c r="N63" i="1"/>
  <c r="O63" i="1"/>
  <c r="F65" i="1"/>
  <c r="H65" i="1"/>
  <c r="I65" i="1"/>
  <c r="J65" i="1"/>
  <c r="K65" i="1"/>
  <c r="L65" i="1"/>
  <c r="M65" i="1"/>
  <c r="N65" i="1"/>
  <c r="O65" i="1"/>
  <c r="E66" i="1"/>
  <c r="G66" i="1"/>
  <c r="H66" i="1"/>
  <c r="I66" i="1"/>
  <c r="J66" i="1"/>
  <c r="K66" i="1"/>
  <c r="L66" i="1"/>
  <c r="M66" i="1"/>
  <c r="N66" i="1"/>
  <c r="O66" i="1"/>
  <c r="E67" i="1"/>
  <c r="F67" i="1"/>
  <c r="G67" i="1"/>
  <c r="H67" i="1"/>
  <c r="I67" i="1"/>
  <c r="J67" i="1"/>
  <c r="K67" i="1"/>
  <c r="L67" i="1"/>
  <c r="M67" i="1"/>
  <c r="N67" i="1"/>
  <c r="O67" i="1"/>
  <c r="E68" i="1"/>
  <c r="F68" i="1"/>
  <c r="G68" i="1"/>
  <c r="H68" i="1"/>
  <c r="H72" i="1" s="1"/>
  <c r="I68" i="1"/>
  <c r="J68" i="1"/>
  <c r="K68" i="1"/>
  <c r="L68" i="1"/>
  <c r="L72" i="1" s="1"/>
  <c r="M68" i="1"/>
  <c r="N68" i="1"/>
  <c r="O68" i="1"/>
  <c r="E69" i="1"/>
  <c r="F69" i="1"/>
  <c r="G69" i="1"/>
  <c r="H69" i="1"/>
  <c r="I69" i="1"/>
  <c r="J69" i="1"/>
  <c r="K69" i="1"/>
  <c r="L69" i="1"/>
  <c r="M69" i="1"/>
  <c r="N69" i="1"/>
  <c r="O69" i="1"/>
  <c r="E70" i="1"/>
  <c r="F70" i="1"/>
  <c r="G70" i="1"/>
  <c r="H70" i="1"/>
  <c r="I70" i="1"/>
  <c r="J70" i="1"/>
  <c r="K70" i="1"/>
  <c r="L70" i="1"/>
  <c r="M70" i="1"/>
  <c r="N70" i="1"/>
  <c r="O70" i="1"/>
  <c r="E72" i="1"/>
  <c r="F72" i="1"/>
  <c r="G72" i="1"/>
  <c r="I72" i="1"/>
  <c r="J72" i="1"/>
  <c r="K72" i="1"/>
  <c r="M72" i="1"/>
  <c r="N72" i="1"/>
  <c r="O72" i="1"/>
  <c r="E20" i="1" l="1"/>
  <c r="E16" i="1"/>
  <c r="E23" i="1"/>
  <c r="E19" i="1"/>
  <c r="E15" i="1"/>
  <c r="E22" i="1"/>
  <c r="E18" i="1"/>
  <c r="E21" i="1"/>
  <c r="C18" i="1" l="1"/>
  <c r="C22" i="1"/>
  <c r="C15" i="1"/>
  <c r="C19" i="1"/>
  <c r="C23" i="1"/>
  <c r="C16" i="1"/>
  <c r="C20" i="1"/>
  <c r="C17" i="1"/>
  <c r="C21" i="1"/>
  <c r="N16" i="1" l="1"/>
  <c r="G16" i="1"/>
  <c r="F16" i="1"/>
  <c r="M16" i="1"/>
  <c r="H16" i="1"/>
  <c r="J16" i="1"/>
  <c r="I16" i="1"/>
  <c r="L16" i="1"/>
  <c r="O16" i="1"/>
  <c r="K16" i="1"/>
  <c r="O22" i="1"/>
  <c r="N22" i="1"/>
  <c r="M22" i="1"/>
  <c r="L22" i="1"/>
  <c r="G22" i="1"/>
  <c r="F22" i="1"/>
  <c r="K22" i="1"/>
  <c r="J22" i="1"/>
  <c r="I22" i="1"/>
  <c r="H22" i="1"/>
  <c r="H20" i="1"/>
  <c r="K20" i="1"/>
  <c r="F20" i="1"/>
  <c r="L20" i="1"/>
  <c r="O20" i="1"/>
  <c r="J20" i="1"/>
  <c r="G20" i="1"/>
  <c r="M20" i="1"/>
  <c r="N20" i="1"/>
  <c r="I20" i="1"/>
  <c r="L21" i="1"/>
  <c r="O21" i="1"/>
  <c r="N21" i="1"/>
  <c r="I21" i="1"/>
  <c r="H21" i="1"/>
  <c r="K21" i="1"/>
  <c r="J21" i="1"/>
  <c r="G21" i="1"/>
  <c r="F21" i="1"/>
  <c r="M21" i="1"/>
  <c r="F23" i="1"/>
  <c r="H23" i="1"/>
  <c r="G23" i="1"/>
  <c r="J23" i="1"/>
  <c r="I23" i="1"/>
  <c r="K23" i="1"/>
  <c r="N23" i="1"/>
  <c r="M23" i="1"/>
  <c r="O23" i="1"/>
  <c r="L23" i="1"/>
  <c r="O18" i="1"/>
  <c r="N18" i="1"/>
  <c r="M18" i="1"/>
  <c r="L18" i="1"/>
  <c r="K18" i="1"/>
  <c r="J18" i="1"/>
  <c r="I18" i="1"/>
  <c r="H18" i="1"/>
  <c r="G18" i="1"/>
  <c r="F18" i="1"/>
  <c r="G15" i="1"/>
  <c r="N15" i="1"/>
  <c r="M15" i="1"/>
  <c r="J15" i="1"/>
  <c r="I15" i="1"/>
  <c r="L15" i="1"/>
  <c r="O15" i="1"/>
  <c r="F15" i="1"/>
  <c r="H15" i="1"/>
  <c r="K15" i="1"/>
  <c r="H17" i="1"/>
  <c r="K17" i="1"/>
  <c r="J17" i="1"/>
  <c r="I17" i="1"/>
  <c r="G17" i="1"/>
  <c r="F17" i="1"/>
  <c r="M17" i="1"/>
  <c r="N17" i="1"/>
  <c r="L17" i="1"/>
  <c r="O17" i="1"/>
  <c r="N19" i="1"/>
  <c r="M19" i="1"/>
  <c r="O19" i="1"/>
  <c r="F19" i="1"/>
  <c r="G19" i="1"/>
  <c r="J19" i="1"/>
  <c r="I19" i="1"/>
  <c r="L19" i="1"/>
  <c r="K19" i="1"/>
  <c r="H19" i="1"/>
  <c r="L14" i="1"/>
  <c r="K14" i="1"/>
  <c r="J14" i="1"/>
  <c r="I14" i="1"/>
  <c r="N14" i="1"/>
  <c r="M14" i="1"/>
  <c r="H14" i="1"/>
  <c r="G14" i="1"/>
  <c r="F14" i="1"/>
  <c r="O14" i="1"/>
</calcChain>
</file>

<file path=xl/sharedStrings.xml><?xml version="1.0" encoding="utf-8"?>
<sst xmlns="http://schemas.openxmlformats.org/spreadsheetml/2006/main" count="41" uniqueCount="38">
  <si>
    <t>DIFFUSION OF POINT SOURCE POLLUTION</t>
  </si>
  <si>
    <t>Stack height (m)</t>
  </si>
  <si>
    <t>Gas exit velocity (m/s)</t>
  </si>
  <si>
    <t>Stack diameter (m)</t>
  </si>
  <si>
    <t>Gas exit temperature (C)</t>
  </si>
  <si>
    <t>Emission rate (g/s)</t>
  </si>
  <si>
    <t>Ambient Temperature</t>
  </si>
  <si>
    <t>Atmospheric</t>
  </si>
  <si>
    <t>1 = Very Unstable</t>
  </si>
  <si>
    <t>4 = Neutral</t>
  </si>
  <si>
    <t>Condition</t>
  </si>
  <si>
    <t>2 = Moderately Unstable</t>
  </si>
  <si>
    <t>5 = Somewhat stable</t>
  </si>
  <si>
    <t>Category:</t>
  </si>
  <si>
    <t>3 = Slight unstable</t>
  </si>
  <si>
    <t>6 = Stable</t>
  </si>
  <si>
    <t>Wind</t>
  </si>
  <si>
    <t>Stack</t>
  </si>
  <si>
    <t>Estimated Concentration of Ground-Level Pollution (mmg/m3)</t>
  </si>
  <si>
    <t>Effect</t>
  </si>
  <si>
    <t>on Plume Centerline at Selected Distances (km) from Source</t>
  </si>
  <si>
    <t>Ht (m)</t>
  </si>
  <si>
    <t>SCRATCH AREA</t>
  </si>
  <si>
    <t>gas exit temperature in degrees Kelvin</t>
  </si>
  <si>
    <t>ambient temperature in degrees Kelvin</t>
  </si>
  <si>
    <t xml:space="preserve">Lateral and Vertical Disperson Coefficients for Each Stability Category </t>
  </si>
  <si>
    <t>Column</t>
  </si>
  <si>
    <t>} f0</t>
  </si>
  <si>
    <t>}   x0</t>
  </si>
  <si>
    <t>} Numerator for H(eff)</t>
  </si>
  <si>
    <t>}  Calcuation for T(eff)</t>
  </si>
  <si>
    <t>Lateral Dispersion Lookup</t>
  </si>
  <si>
    <t>Vertical Dispersion Lookup</t>
  </si>
  <si>
    <t>Velocities</t>
  </si>
  <si>
    <t>Lateral</t>
  </si>
  <si>
    <t>Dispersion</t>
  </si>
  <si>
    <t>Coefficients</t>
  </si>
  <si>
    <t>Vertical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</si>
</sst>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7" formatCode="0.00000"/>
  </numFmts>
  <fonts count="2">
    <font>
      <sz val="10"/>
      <name val="Geneva"/>
    </font>
    <font>
      <b/>
      <sz val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/>
    <xf numFmtId="164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en-US"/>
              <a:t>DIFFUSION OF POINT-SOURCE POLLUTION USING A GAUSSIAN DISTRIBUTION</a:t>
            </a:r>
          </a:p>
        </c:rich>
      </c:tx>
      <c:layout>
        <c:manualLayout>
          <c:xMode val="edge"/>
          <c:yMode val="edge"/>
          <c:x val="0.1425260718424102"/>
          <c:y val="3.49515060179564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87485515643106"/>
          <c:y val="0.32038880516460078"/>
          <c:w val="0.72421784472769413"/>
          <c:h val="0.47767058224540482"/>
        </c:manualLayout>
      </c:layout>
      <c:lineChart>
        <c:grouping val="standard"/>
        <c:varyColors val="0"/>
        <c:ser>
          <c:idx val="0"/>
          <c:order val="0"/>
          <c:tx>
            <c:strRef>
              <c:f>plume.xls!$A$14</c:f>
              <c:strCache>
                <c:ptCount val="1"/>
                <c:pt idx="0">
                  <c:v>1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plume.xls!$E$13:$O$13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0.8</c:v>
                </c:pt>
                <c:pt idx="3">
                  <c:v>1.5</c:v>
                </c:pt>
                <c:pt idx="4">
                  <c:v>3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35</c:v>
                </c:pt>
                <c:pt idx="9">
                  <c:v>60</c:v>
                </c:pt>
                <c:pt idx="10">
                  <c:v>100</c:v>
                </c:pt>
              </c:numCache>
            </c:numRef>
          </c:cat>
          <c:val>
            <c:numRef>
              <c:f>plume.xls!$E$14:$O$14</c:f>
              <c:numCache>
                <c:formatCode>0</c:formatCode>
                <c:ptCount val="11"/>
                <c:pt idx="0">
                  <c:v>0</c:v>
                </c:pt>
                <c:pt idx="1">
                  <c:v>5.2063177823670715E-18</c:v>
                </c:pt>
                <c:pt idx="2">
                  <c:v>9.3280516463965954E-8</c:v>
                </c:pt>
                <c:pt idx="3">
                  <c:v>2.8546566873032059E-2</c:v>
                </c:pt>
                <c:pt idx="4">
                  <c:v>2.9868927856068517</c:v>
                </c:pt>
                <c:pt idx="5">
                  <c:v>9.2094085434974335</c:v>
                </c:pt>
                <c:pt idx="6">
                  <c:v>12.527318572921688</c:v>
                </c:pt>
                <c:pt idx="7">
                  <c:v>9.3987497046003803</c:v>
                </c:pt>
                <c:pt idx="8">
                  <c:v>6.2264206710026286</c:v>
                </c:pt>
                <c:pt idx="9">
                  <c:v>3.9095183086348002</c:v>
                </c:pt>
                <c:pt idx="10">
                  <c:v>2.4369154580142505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4-4ED9-854F-7C78EF96812C}"/>
            </c:ext>
          </c:extLst>
        </c:ser>
        <c:ser>
          <c:idx val="1"/>
          <c:order val="1"/>
          <c:tx>
            <c:strRef>
              <c:f>plume.xls!$A$15</c:f>
              <c:strCache>
                <c:ptCount val="1"/>
                <c:pt idx="0">
                  <c:v>3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plume.xls!$E$13:$O$13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0.8</c:v>
                </c:pt>
                <c:pt idx="3">
                  <c:v>1.5</c:v>
                </c:pt>
                <c:pt idx="4">
                  <c:v>3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35</c:v>
                </c:pt>
                <c:pt idx="9">
                  <c:v>60</c:v>
                </c:pt>
                <c:pt idx="10">
                  <c:v>100</c:v>
                </c:pt>
              </c:numCache>
            </c:numRef>
          </c:cat>
          <c:val>
            <c:numRef>
              <c:f>plume.xls!$E$15:$O$15</c:f>
              <c:numCache>
                <c:formatCode>0</c:formatCode>
                <c:ptCount val="11"/>
                <c:pt idx="0">
                  <c:v>0</c:v>
                </c:pt>
                <c:pt idx="1">
                  <c:v>0.22059315459070833</c:v>
                </c:pt>
                <c:pt idx="2">
                  <c:v>7.7991105722095062</c:v>
                </c:pt>
                <c:pt idx="3">
                  <c:v>32.200835363491855</c:v>
                </c:pt>
                <c:pt idx="4">
                  <c:v>30.99707190858485</c:v>
                </c:pt>
                <c:pt idx="5">
                  <c:v>20.791463909250286</c:v>
                </c:pt>
                <c:pt idx="6">
                  <c:v>10.272818439274518</c:v>
                </c:pt>
                <c:pt idx="7">
                  <c:v>4.8452541872222605</c:v>
                </c:pt>
                <c:pt idx="8">
                  <c:v>2.6535748768783494</c:v>
                </c:pt>
                <c:pt idx="9">
                  <c:v>1.5023360907784458</c:v>
                </c:pt>
                <c:pt idx="10">
                  <c:v>0.88433206714945511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4-4ED9-854F-7C78EF96812C}"/>
            </c:ext>
          </c:extLst>
        </c:ser>
        <c:ser>
          <c:idx val="2"/>
          <c:order val="2"/>
          <c:tx>
            <c:strRef>
              <c:f>plume.xls!$A$16</c:f>
              <c:strCache>
                <c:ptCount val="1"/>
                <c:pt idx="0">
                  <c:v>5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plume.xls!$E$13:$O$13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0.8</c:v>
                </c:pt>
                <c:pt idx="3">
                  <c:v>1.5</c:v>
                </c:pt>
                <c:pt idx="4">
                  <c:v>3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35</c:v>
                </c:pt>
                <c:pt idx="9">
                  <c:v>60</c:v>
                </c:pt>
                <c:pt idx="10">
                  <c:v>100</c:v>
                </c:pt>
              </c:numCache>
            </c:numRef>
          </c:cat>
          <c:val>
            <c:numRef>
              <c:f>plume.xls!$E$16:$O$16</c:f>
              <c:numCache>
                <c:formatCode>0</c:formatCode>
                <c:ptCount val="11"/>
                <c:pt idx="0">
                  <c:v>0</c:v>
                </c:pt>
                <c:pt idx="1">
                  <c:v>7.5775759402451293</c:v>
                </c:pt>
                <c:pt idx="2">
                  <c:v>34.150361785589993</c:v>
                </c:pt>
                <c:pt idx="3">
                  <c:v>44.538577733676853</c:v>
                </c:pt>
                <c:pt idx="4">
                  <c:v>26.480703450099355</c:v>
                </c:pt>
                <c:pt idx="5">
                  <c:v>15.184991234966633</c:v>
                </c:pt>
                <c:pt idx="6">
                  <c:v>6.7611232338463312</c:v>
                </c:pt>
                <c:pt idx="7">
                  <c:v>3.040388136846099</c:v>
                </c:pt>
                <c:pt idx="8">
                  <c:v>1.6328622480797443</c:v>
                </c:pt>
                <c:pt idx="9">
                  <c:v>0.91467311717142263</c:v>
                </c:pt>
                <c:pt idx="10">
                  <c:v>0.53525215133990445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4-4ED9-854F-7C78EF96812C}"/>
            </c:ext>
          </c:extLst>
        </c:ser>
        <c:ser>
          <c:idx val="3"/>
          <c:order val="3"/>
          <c:tx>
            <c:strRef>
              <c:f>plume.xls!$A$17</c:f>
              <c:strCache>
                <c:ptCount val="1"/>
                <c:pt idx="0">
                  <c:v>7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plume.xls!$E$13:$O$13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0.8</c:v>
                </c:pt>
                <c:pt idx="3">
                  <c:v>1.5</c:v>
                </c:pt>
                <c:pt idx="4">
                  <c:v>3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35</c:v>
                </c:pt>
                <c:pt idx="9">
                  <c:v>60</c:v>
                </c:pt>
                <c:pt idx="10">
                  <c:v>100</c:v>
                </c:pt>
              </c:numCache>
            </c:numRef>
          </c:cat>
          <c:val>
            <c:numRef>
              <c:f>plume.xls!$E$17:$O$17</c:f>
              <c:numCache>
                <c:formatCode>0</c:formatCode>
                <c:ptCount val="11"/>
                <c:pt idx="0">
                  <c:v>0</c:v>
                </c:pt>
                <c:pt idx="1">
                  <c:v>20.751076187636151</c:v>
                </c:pt>
                <c:pt idx="2">
                  <c:v>47.192762264071796</c:v>
                </c:pt>
                <c:pt idx="3">
                  <c:v>41.979921466298599</c:v>
                </c:pt>
                <c:pt idx="4">
                  <c:v>21.269341171846975</c:v>
                </c:pt>
                <c:pt idx="5">
                  <c:v>11.578029691359786</c:v>
                </c:pt>
                <c:pt idx="6">
                  <c:v>4.9800203976127033</c:v>
                </c:pt>
                <c:pt idx="7">
                  <c:v>2.2042594130752859</c:v>
                </c:pt>
                <c:pt idx="8">
                  <c:v>1.1761504293002678</c:v>
                </c:pt>
                <c:pt idx="9">
                  <c:v>0.65651622312781133</c:v>
                </c:pt>
                <c:pt idx="10">
                  <c:v>0.38343290257864932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B4-4ED9-854F-7C78EF96812C}"/>
            </c:ext>
          </c:extLst>
        </c:ser>
        <c:ser>
          <c:idx val="4"/>
          <c:order val="4"/>
          <c:tx>
            <c:strRef>
              <c:f>plume.xls!$A$18</c:f>
              <c:strCache>
                <c:ptCount val="1"/>
                <c:pt idx="0">
                  <c:v>9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plume.xls!$E$13:$O$13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0.8</c:v>
                </c:pt>
                <c:pt idx="3">
                  <c:v>1.5</c:v>
                </c:pt>
                <c:pt idx="4">
                  <c:v>3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35</c:v>
                </c:pt>
                <c:pt idx="9">
                  <c:v>60</c:v>
                </c:pt>
                <c:pt idx="10">
                  <c:v>100</c:v>
                </c:pt>
              </c:numCache>
            </c:numRef>
          </c:cat>
          <c:val>
            <c:numRef>
              <c:f>plume.xls!$E$18:$O$18</c:f>
              <c:numCache>
                <c:formatCode>0</c:formatCode>
                <c:ptCount val="11"/>
                <c:pt idx="0">
                  <c:v>0</c:v>
                </c:pt>
                <c:pt idx="1">
                  <c:v>30.77114607343864</c:v>
                </c:pt>
                <c:pt idx="2">
                  <c:v>50.390941970046974</c:v>
                </c:pt>
                <c:pt idx="3">
                  <c:v>37.301474969360228</c:v>
                </c:pt>
                <c:pt idx="4">
                  <c:v>17.501514059795237</c:v>
                </c:pt>
                <c:pt idx="5">
                  <c:v>9.2918504593578923</c:v>
                </c:pt>
                <c:pt idx="6">
                  <c:v>3.9309028415202345</c:v>
                </c:pt>
                <c:pt idx="7">
                  <c:v>1.7267162455261549</c:v>
                </c:pt>
                <c:pt idx="8">
                  <c:v>0.91847403842487996</c:v>
                </c:pt>
                <c:pt idx="9">
                  <c:v>0.51181498593689889</c:v>
                </c:pt>
                <c:pt idx="10">
                  <c:v>0.29864100723751225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B4-4ED9-854F-7C78EF96812C}"/>
            </c:ext>
          </c:extLst>
        </c:ser>
        <c:ser>
          <c:idx val="5"/>
          <c:order val="5"/>
          <c:tx>
            <c:strRef>
              <c:f>plume.xls!$A$19</c:f>
              <c:strCache>
                <c:ptCount val="1"/>
                <c:pt idx="0">
                  <c:v>11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plume.xls!$E$13:$O$13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0.8</c:v>
                </c:pt>
                <c:pt idx="3">
                  <c:v>1.5</c:v>
                </c:pt>
                <c:pt idx="4">
                  <c:v>3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35</c:v>
                </c:pt>
                <c:pt idx="9">
                  <c:v>60</c:v>
                </c:pt>
                <c:pt idx="10">
                  <c:v>100</c:v>
                </c:pt>
              </c:numCache>
            </c:numRef>
          </c:cat>
          <c:val>
            <c:numRef>
              <c:f>plume.xls!$E$19:$O$19</c:f>
              <c:numCache>
                <c:formatCode>0</c:formatCode>
                <c:ptCount val="11"/>
                <c:pt idx="0">
                  <c:v>0</c:v>
                </c:pt>
                <c:pt idx="1">
                  <c:v>36.55701012697822</c:v>
                </c:pt>
                <c:pt idx="2">
                  <c:v>49.515898356820308</c:v>
                </c:pt>
                <c:pt idx="3">
                  <c:v>32.96094771372141</c:v>
                </c:pt>
                <c:pt idx="4">
                  <c:v>14.793342415422126</c:v>
                </c:pt>
                <c:pt idx="5">
                  <c:v>7.7413998322455342</c:v>
                </c:pt>
                <c:pt idx="6">
                  <c:v>3.243728296225354</c:v>
                </c:pt>
                <c:pt idx="7">
                  <c:v>1.4186135965994289</c:v>
                </c:pt>
                <c:pt idx="8">
                  <c:v>0.75322945679824094</c:v>
                </c:pt>
                <c:pt idx="9">
                  <c:v>0.41932208803884319</c:v>
                </c:pt>
                <c:pt idx="10">
                  <c:v>0.24453930516406422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B4-4ED9-854F-7C78EF96812C}"/>
            </c:ext>
          </c:extLst>
        </c:ser>
        <c:ser>
          <c:idx val="6"/>
          <c:order val="6"/>
          <c:tx>
            <c:strRef>
              <c:f>plume.xls!$A$20</c:f>
              <c:strCache>
                <c:ptCount val="1"/>
                <c:pt idx="0">
                  <c:v>13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plume.xls!$E$13:$O$13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0.8</c:v>
                </c:pt>
                <c:pt idx="3">
                  <c:v>1.5</c:v>
                </c:pt>
                <c:pt idx="4">
                  <c:v>3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35</c:v>
                </c:pt>
                <c:pt idx="9">
                  <c:v>60</c:v>
                </c:pt>
                <c:pt idx="10">
                  <c:v>100</c:v>
                </c:pt>
              </c:numCache>
            </c:numRef>
          </c:cat>
          <c:val>
            <c:numRef>
              <c:f>plume.xls!$E$20:$O$20</c:f>
              <c:numCache>
                <c:formatCode>0</c:formatCode>
                <c:ptCount val="11"/>
                <c:pt idx="0">
                  <c:v>0</c:v>
                </c:pt>
                <c:pt idx="1">
                  <c:v>39.364351214301976</c:v>
                </c:pt>
                <c:pt idx="2">
                  <c:v>47.162940352931827</c:v>
                </c:pt>
                <c:pt idx="3">
                  <c:v>29.312327005162356</c:v>
                </c:pt>
                <c:pt idx="4">
                  <c:v>12.783643271110479</c:v>
                </c:pt>
                <c:pt idx="5">
                  <c:v>6.6275565048010554</c:v>
                </c:pt>
                <c:pt idx="6">
                  <c:v>2.7598568645151298</c:v>
                </c:pt>
                <c:pt idx="7">
                  <c:v>1.203573015820782</c:v>
                </c:pt>
                <c:pt idx="8">
                  <c:v>0.63830721507566246</c:v>
                </c:pt>
                <c:pt idx="9">
                  <c:v>0.35511996962279191</c:v>
                </c:pt>
                <c:pt idx="10">
                  <c:v>0.20702549089606784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B4-4ED9-854F-7C78EF96812C}"/>
            </c:ext>
          </c:extLst>
        </c:ser>
        <c:ser>
          <c:idx val="7"/>
          <c:order val="7"/>
          <c:tx>
            <c:strRef>
              <c:f>plume.xls!$A$21</c:f>
              <c:strCache>
                <c:ptCount val="1"/>
                <c:pt idx="0">
                  <c:v>15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plume.xls!$E$13:$O$13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0.8</c:v>
                </c:pt>
                <c:pt idx="3">
                  <c:v>1.5</c:v>
                </c:pt>
                <c:pt idx="4">
                  <c:v>3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35</c:v>
                </c:pt>
                <c:pt idx="9">
                  <c:v>60</c:v>
                </c:pt>
                <c:pt idx="10">
                  <c:v>100</c:v>
                </c:pt>
              </c:numCache>
            </c:numRef>
          </c:cat>
          <c:val>
            <c:numRef>
              <c:f>plume.xls!$E$21:$O$21</c:f>
              <c:numCache>
                <c:formatCode>0</c:formatCode>
                <c:ptCount val="11"/>
                <c:pt idx="0">
                  <c:v>0</c:v>
                </c:pt>
                <c:pt idx="1">
                  <c:v>40.35024934157704</c:v>
                </c:pt>
                <c:pt idx="2">
                  <c:v>44.386169715547787</c:v>
                </c:pt>
                <c:pt idx="3">
                  <c:v>26.299252011848296</c:v>
                </c:pt>
                <c:pt idx="4">
                  <c:v>11.242690085091962</c:v>
                </c:pt>
                <c:pt idx="5">
                  <c:v>5.7908985130912951</c:v>
                </c:pt>
                <c:pt idx="6">
                  <c:v>2.4010695086406897</c:v>
                </c:pt>
                <c:pt idx="7">
                  <c:v>1.0450367022468734</c:v>
                </c:pt>
                <c:pt idx="8">
                  <c:v>0.55377917347232863</c:v>
                </c:pt>
                <c:pt idx="9">
                  <c:v>0.30795723080175041</c:v>
                </c:pt>
                <c:pt idx="10">
                  <c:v>0.17948706366013753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B4-4ED9-854F-7C78EF96812C}"/>
            </c:ext>
          </c:extLst>
        </c:ser>
        <c:ser>
          <c:idx val="8"/>
          <c:order val="8"/>
          <c:tx>
            <c:strRef>
              <c:f>plume.xls!$A$22</c:f>
              <c:strCache>
                <c:ptCount val="1"/>
                <c:pt idx="0">
                  <c:v>17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plume.xls!$E$13:$O$13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0.8</c:v>
                </c:pt>
                <c:pt idx="3">
                  <c:v>1.5</c:v>
                </c:pt>
                <c:pt idx="4">
                  <c:v>3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35</c:v>
                </c:pt>
                <c:pt idx="9">
                  <c:v>60</c:v>
                </c:pt>
                <c:pt idx="10">
                  <c:v>100</c:v>
                </c:pt>
              </c:numCache>
            </c:numRef>
          </c:cat>
          <c:val>
            <c:numRef>
              <c:f>plume.xls!$E$22:$O$22</c:f>
              <c:numCache>
                <c:formatCode>0</c:formatCode>
                <c:ptCount val="11"/>
                <c:pt idx="0">
                  <c:v>0</c:v>
                </c:pt>
                <c:pt idx="1">
                  <c:v>40.273140118287778</c:v>
                </c:pt>
                <c:pt idx="2">
                  <c:v>41.607876755148865</c:v>
                </c:pt>
                <c:pt idx="3">
                  <c:v>23.802960420385336</c:v>
                </c:pt>
                <c:pt idx="4">
                  <c:v>10.027335890851177</c:v>
                </c:pt>
                <c:pt idx="5">
                  <c:v>5.1402965079707261</c:v>
                </c:pt>
                <c:pt idx="6">
                  <c:v>2.1245675458812769</c:v>
                </c:pt>
                <c:pt idx="7">
                  <c:v>0.92335031281920521</c:v>
                </c:pt>
                <c:pt idx="8">
                  <c:v>0.48900456630722738</c:v>
                </c:pt>
                <c:pt idx="9">
                  <c:v>0.27184793295350179</c:v>
                </c:pt>
                <c:pt idx="10">
                  <c:v>0.15841304997189004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CB4-4ED9-854F-7C78EF96812C}"/>
            </c:ext>
          </c:extLst>
        </c:ser>
        <c:ser>
          <c:idx val="9"/>
          <c:order val="9"/>
          <c:tx>
            <c:strRef>
              <c:f>plume.xls!$A$23</c:f>
              <c:strCache>
                <c:ptCount val="1"/>
                <c:pt idx="0">
                  <c:v>19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8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plume.xls!$E$13:$O$13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0.8</c:v>
                </c:pt>
                <c:pt idx="3">
                  <c:v>1.5</c:v>
                </c:pt>
                <c:pt idx="4">
                  <c:v>3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35</c:v>
                </c:pt>
                <c:pt idx="9">
                  <c:v>60</c:v>
                </c:pt>
                <c:pt idx="10">
                  <c:v>100</c:v>
                </c:pt>
              </c:numCache>
            </c:numRef>
          </c:cat>
          <c:val>
            <c:numRef>
              <c:f>plume.xls!$E$23:$O$23</c:f>
              <c:numCache>
                <c:formatCode>0</c:formatCode>
                <c:ptCount val="11"/>
                <c:pt idx="0">
                  <c:v>0</c:v>
                </c:pt>
                <c:pt idx="1">
                  <c:v>39.592596270872541</c:v>
                </c:pt>
                <c:pt idx="2">
                  <c:v>38.990360610433775</c:v>
                </c:pt>
                <c:pt idx="3">
                  <c:v>21.715339877870477</c:v>
                </c:pt>
                <c:pt idx="4">
                  <c:v>9.0459002593332016</c:v>
                </c:pt>
                <c:pt idx="5">
                  <c:v>4.6203004392523335</c:v>
                </c:pt>
                <c:pt idx="6">
                  <c:v>1.9050254986038277</c:v>
                </c:pt>
                <c:pt idx="7">
                  <c:v>0.82701745829867535</c:v>
                </c:pt>
                <c:pt idx="8">
                  <c:v>0.43778757606452534</c:v>
                </c:pt>
                <c:pt idx="9">
                  <c:v>0.24331509976412752</c:v>
                </c:pt>
                <c:pt idx="10">
                  <c:v>0.1417667913802777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CB4-4ED9-854F-7C78EF968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800688"/>
        <c:axId val="1"/>
      </c:lineChart>
      <c:catAx>
        <c:axId val="563800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Distance from source (km)</a:t>
                </a:r>
              </a:p>
            </c:rich>
          </c:tx>
          <c:layout>
            <c:manualLayout>
              <c:xMode val="edge"/>
              <c:yMode val="edge"/>
              <c:x val="0.32908458864426421"/>
              <c:y val="0.885438152454896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Concentration (mmg/m3)</a:t>
                </a:r>
              </a:p>
            </c:rich>
          </c:tx>
          <c:layout>
            <c:manualLayout>
              <c:xMode val="edge"/>
              <c:yMode val="edge"/>
              <c:x val="2.7809965237543453E-2"/>
              <c:y val="0.3300975568362553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56380068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760139049826192"/>
          <c:y val="0.27767029780932068"/>
          <c:w val="9.5017381228273468E-2"/>
          <c:h val="0.565049347290295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en-US"/>
              <a:t>3D Surface Plot</a:t>
            </a:r>
          </a:p>
        </c:rich>
      </c:tx>
      <c:layout>
        <c:manualLayout>
          <c:xMode val="edge"/>
          <c:yMode val="edge"/>
          <c:x val="0.40724086873043969"/>
          <c:y val="3.495150601795644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7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401254068560607"/>
          <c:y val="0.13398077306883305"/>
          <c:w val="0.52639653032193867"/>
          <c:h val="0.76504963172638007"/>
        </c:manualLayout>
      </c:layout>
      <c:surface3DChart>
        <c:wireframe val="0"/>
        <c:ser>
          <c:idx val="0"/>
          <c:order val="0"/>
          <c:tx>
            <c:v>0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plume.xls!$A$14:$A$23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cat>
          <c:val>
            <c:numRef>
              <c:f>plume.xls!$E$14:$E$23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B-48E0-A35C-7C9DB13F7F1D}"/>
            </c:ext>
          </c:extLst>
        </c:ser>
        <c:ser>
          <c:idx val="1"/>
          <c:order val="1"/>
          <c:tx>
            <c:v>0.5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plume.xls!$A$14:$A$23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cat>
          <c:val>
            <c:numRef>
              <c:f>plume.xls!$F$14:$F$23</c:f>
              <c:numCache>
                <c:formatCode>0</c:formatCode>
                <c:ptCount val="10"/>
                <c:pt idx="0">
                  <c:v>5.2063177823670715E-18</c:v>
                </c:pt>
                <c:pt idx="1">
                  <c:v>0.22059315459070833</c:v>
                </c:pt>
                <c:pt idx="2">
                  <c:v>7.5775759402451293</c:v>
                </c:pt>
                <c:pt idx="3">
                  <c:v>20.751076187636151</c:v>
                </c:pt>
                <c:pt idx="4">
                  <c:v>30.77114607343864</c:v>
                </c:pt>
                <c:pt idx="5">
                  <c:v>36.55701012697822</c:v>
                </c:pt>
                <c:pt idx="6">
                  <c:v>39.364351214301976</c:v>
                </c:pt>
                <c:pt idx="7">
                  <c:v>40.35024934157704</c:v>
                </c:pt>
                <c:pt idx="8">
                  <c:v>40.273140118287778</c:v>
                </c:pt>
                <c:pt idx="9">
                  <c:v>39.592596270872541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B-48E0-A35C-7C9DB13F7F1D}"/>
            </c:ext>
          </c:extLst>
        </c:ser>
        <c:ser>
          <c:idx val="2"/>
          <c:order val="2"/>
          <c:tx>
            <c:v>0.8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plume.xls!$A$14:$A$23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cat>
          <c:val>
            <c:numRef>
              <c:f>plume.xls!$G$14:$G$23</c:f>
              <c:numCache>
                <c:formatCode>0</c:formatCode>
                <c:ptCount val="10"/>
                <c:pt idx="0">
                  <c:v>9.3280516463965954E-8</c:v>
                </c:pt>
                <c:pt idx="1">
                  <c:v>7.7991105722095062</c:v>
                </c:pt>
                <c:pt idx="2">
                  <c:v>34.150361785589993</c:v>
                </c:pt>
                <c:pt idx="3">
                  <c:v>47.192762264071796</c:v>
                </c:pt>
                <c:pt idx="4">
                  <c:v>50.390941970046974</c:v>
                </c:pt>
                <c:pt idx="5">
                  <c:v>49.515898356820308</c:v>
                </c:pt>
                <c:pt idx="6">
                  <c:v>47.162940352931827</c:v>
                </c:pt>
                <c:pt idx="7">
                  <c:v>44.386169715547787</c:v>
                </c:pt>
                <c:pt idx="8">
                  <c:v>41.607876755148865</c:v>
                </c:pt>
                <c:pt idx="9">
                  <c:v>38.990360610433775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B-48E0-A35C-7C9DB13F7F1D}"/>
            </c:ext>
          </c:extLst>
        </c:ser>
        <c:ser>
          <c:idx val="3"/>
          <c:order val="3"/>
          <c:tx>
            <c:v>1.5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plume.xls!$A$14:$A$23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cat>
          <c:val>
            <c:numRef>
              <c:f>plume.xls!$H$14:$H$23</c:f>
              <c:numCache>
                <c:formatCode>0</c:formatCode>
                <c:ptCount val="10"/>
                <c:pt idx="0">
                  <c:v>2.8546566873032059E-2</c:v>
                </c:pt>
                <c:pt idx="1">
                  <c:v>32.200835363491855</c:v>
                </c:pt>
                <c:pt idx="2">
                  <c:v>44.538577733676853</c:v>
                </c:pt>
                <c:pt idx="3">
                  <c:v>41.979921466298599</c:v>
                </c:pt>
                <c:pt idx="4">
                  <c:v>37.301474969360228</c:v>
                </c:pt>
                <c:pt idx="5">
                  <c:v>32.96094771372141</c:v>
                </c:pt>
                <c:pt idx="6">
                  <c:v>29.312327005162356</c:v>
                </c:pt>
                <c:pt idx="7">
                  <c:v>26.299252011848296</c:v>
                </c:pt>
                <c:pt idx="8">
                  <c:v>23.802960420385336</c:v>
                </c:pt>
                <c:pt idx="9">
                  <c:v>21.715339877870477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7B-48E0-A35C-7C9DB13F7F1D}"/>
            </c:ext>
          </c:extLst>
        </c:ser>
        <c:ser>
          <c:idx val="4"/>
          <c:order val="4"/>
          <c:tx>
            <c:v>3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plume.xls!$A$14:$A$23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cat>
          <c:val>
            <c:numRef>
              <c:f>plume.xls!$I$14:$I$23</c:f>
              <c:numCache>
                <c:formatCode>0</c:formatCode>
                <c:ptCount val="10"/>
                <c:pt idx="0">
                  <c:v>2.9868927856068517</c:v>
                </c:pt>
                <c:pt idx="1">
                  <c:v>30.99707190858485</c:v>
                </c:pt>
                <c:pt idx="2">
                  <c:v>26.480703450099355</c:v>
                </c:pt>
                <c:pt idx="3">
                  <c:v>21.269341171846975</c:v>
                </c:pt>
                <c:pt idx="4">
                  <c:v>17.501514059795237</c:v>
                </c:pt>
                <c:pt idx="5">
                  <c:v>14.793342415422126</c:v>
                </c:pt>
                <c:pt idx="6">
                  <c:v>12.783643271110479</c:v>
                </c:pt>
                <c:pt idx="7">
                  <c:v>11.242690085091962</c:v>
                </c:pt>
                <c:pt idx="8">
                  <c:v>10.027335890851177</c:v>
                </c:pt>
                <c:pt idx="9">
                  <c:v>9.0459002593332016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7B-48E0-A35C-7C9DB13F7F1D}"/>
            </c:ext>
          </c:extLst>
        </c:ser>
        <c:ser>
          <c:idx val="5"/>
          <c:order val="5"/>
          <c:tx>
            <c:v>5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plume.xls!$A$14:$A$23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cat>
          <c:val>
            <c:numRef>
              <c:f>plume.xls!$J$14:$J$23</c:f>
              <c:numCache>
                <c:formatCode>0</c:formatCode>
                <c:ptCount val="10"/>
                <c:pt idx="0">
                  <c:v>9.2094085434974335</c:v>
                </c:pt>
                <c:pt idx="1">
                  <c:v>20.791463909250286</c:v>
                </c:pt>
                <c:pt idx="2">
                  <c:v>15.184991234966633</c:v>
                </c:pt>
                <c:pt idx="3">
                  <c:v>11.578029691359786</c:v>
                </c:pt>
                <c:pt idx="4">
                  <c:v>9.2918504593578923</c:v>
                </c:pt>
                <c:pt idx="5">
                  <c:v>7.7413998322455342</c:v>
                </c:pt>
                <c:pt idx="6">
                  <c:v>6.6275565048010554</c:v>
                </c:pt>
                <c:pt idx="7">
                  <c:v>5.7908985130912951</c:v>
                </c:pt>
                <c:pt idx="8">
                  <c:v>5.1402965079707261</c:v>
                </c:pt>
                <c:pt idx="9">
                  <c:v>4.6203004392523335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7B-48E0-A35C-7C9DB13F7F1D}"/>
            </c:ext>
          </c:extLst>
        </c:ser>
        <c:ser>
          <c:idx val="6"/>
          <c:order val="6"/>
          <c:tx>
            <c:v>10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plume.xls!$A$14:$A$23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cat>
          <c:val>
            <c:numRef>
              <c:f>plume.xls!$K$14:$K$23</c:f>
              <c:numCache>
                <c:formatCode>0</c:formatCode>
                <c:ptCount val="10"/>
                <c:pt idx="0">
                  <c:v>12.527318572921688</c:v>
                </c:pt>
                <c:pt idx="1">
                  <c:v>10.272818439274518</c:v>
                </c:pt>
                <c:pt idx="2">
                  <c:v>6.7611232338463312</c:v>
                </c:pt>
                <c:pt idx="3">
                  <c:v>4.9800203976127033</c:v>
                </c:pt>
                <c:pt idx="4">
                  <c:v>3.9309028415202345</c:v>
                </c:pt>
                <c:pt idx="5">
                  <c:v>3.243728296225354</c:v>
                </c:pt>
                <c:pt idx="6">
                  <c:v>2.7598568645151298</c:v>
                </c:pt>
                <c:pt idx="7">
                  <c:v>2.4010695086406897</c:v>
                </c:pt>
                <c:pt idx="8">
                  <c:v>2.1245675458812769</c:v>
                </c:pt>
                <c:pt idx="9">
                  <c:v>1.9050254986038277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7B-48E0-A35C-7C9DB13F7F1D}"/>
            </c:ext>
          </c:extLst>
        </c:ser>
        <c:ser>
          <c:idx val="7"/>
          <c:order val="7"/>
          <c:tx>
            <c:v>20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plume.xls!$A$14:$A$23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cat>
          <c:val>
            <c:numRef>
              <c:f>plume.xls!$L$14:$L$23</c:f>
              <c:numCache>
                <c:formatCode>0</c:formatCode>
                <c:ptCount val="10"/>
                <c:pt idx="0">
                  <c:v>9.3987497046003803</c:v>
                </c:pt>
                <c:pt idx="1">
                  <c:v>4.8452541872222605</c:v>
                </c:pt>
                <c:pt idx="2">
                  <c:v>3.040388136846099</c:v>
                </c:pt>
                <c:pt idx="3">
                  <c:v>2.2042594130752859</c:v>
                </c:pt>
                <c:pt idx="4">
                  <c:v>1.7267162455261549</c:v>
                </c:pt>
                <c:pt idx="5">
                  <c:v>1.4186135965994289</c:v>
                </c:pt>
                <c:pt idx="6">
                  <c:v>1.203573015820782</c:v>
                </c:pt>
                <c:pt idx="7">
                  <c:v>1.0450367022468734</c:v>
                </c:pt>
                <c:pt idx="8">
                  <c:v>0.92335031281920521</c:v>
                </c:pt>
                <c:pt idx="9">
                  <c:v>0.82701745829867535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7B-48E0-A35C-7C9DB13F7F1D}"/>
            </c:ext>
          </c:extLst>
        </c:ser>
        <c:ser>
          <c:idx val="8"/>
          <c:order val="8"/>
          <c:tx>
            <c:v>35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plume.xls!$A$14:$A$23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cat>
          <c:val>
            <c:numRef>
              <c:f>plume.xls!$M$14:$M$23</c:f>
              <c:numCache>
                <c:formatCode>0</c:formatCode>
                <c:ptCount val="10"/>
                <c:pt idx="0">
                  <c:v>6.2264206710026286</c:v>
                </c:pt>
                <c:pt idx="1">
                  <c:v>2.6535748768783494</c:v>
                </c:pt>
                <c:pt idx="2">
                  <c:v>1.6328622480797443</c:v>
                </c:pt>
                <c:pt idx="3">
                  <c:v>1.1761504293002678</c:v>
                </c:pt>
                <c:pt idx="4">
                  <c:v>0.91847403842487996</c:v>
                </c:pt>
                <c:pt idx="5">
                  <c:v>0.75322945679824094</c:v>
                </c:pt>
                <c:pt idx="6">
                  <c:v>0.63830721507566246</c:v>
                </c:pt>
                <c:pt idx="7">
                  <c:v>0.55377917347232863</c:v>
                </c:pt>
                <c:pt idx="8">
                  <c:v>0.48900456630722738</c:v>
                </c:pt>
                <c:pt idx="9">
                  <c:v>0.43778757606452534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7B-48E0-A35C-7C9DB13F7F1D}"/>
            </c:ext>
          </c:extLst>
        </c:ser>
        <c:ser>
          <c:idx val="9"/>
          <c:order val="9"/>
          <c:tx>
            <c:v>60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plume.xls!$A$14:$A$23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cat>
          <c:val>
            <c:numRef>
              <c:f>plume.xls!$N$14:$N$23</c:f>
              <c:numCache>
                <c:formatCode>0</c:formatCode>
                <c:ptCount val="10"/>
                <c:pt idx="0">
                  <c:v>3.9095183086348002</c:v>
                </c:pt>
                <c:pt idx="1">
                  <c:v>1.5023360907784458</c:v>
                </c:pt>
                <c:pt idx="2">
                  <c:v>0.91467311717142263</c:v>
                </c:pt>
                <c:pt idx="3">
                  <c:v>0.65651622312781133</c:v>
                </c:pt>
                <c:pt idx="4">
                  <c:v>0.51181498593689889</c:v>
                </c:pt>
                <c:pt idx="5">
                  <c:v>0.41932208803884319</c:v>
                </c:pt>
                <c:pt idx="6">
                  <c:v>0.35511996962279191</c:v>
                </c:pt>
                <c:pt idx="7">
                  <c:v>0.30795723080175041</c:v>
                </c:pt>
                <c:pt idx="8">
                  <c:v>0.27184793295350179</c:v>
                </c:pt>
                <c:pt idx="9">
                  <c:v>0.24331509976412752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7B-48E0-A35C-7C9DB13F7F1D}"/>
            </c:ext>
          </c:extLst>
        </c:ser>
        <c:ser>
          <c:idx val="10"/>
          <c:order val="10"/>
          <c:tx>
            <c:v>100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plume.xls!$A$14:$A$23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cat>
          <c:val>
            <c:numRef>
              <c:f>plume.xls!$O$14:$O$23</c:f>
              <c:numCache>
                <c:formatCode>0</c:formatCode>
                <c:ptCount val="10"/>
                <c:pt idx="0">
                  <c:v>2.4369154580142505</c:v>
                </c:pt>
                <c:pt idx="1">
                  <c:v>0.88433206714945511</c:v>
                </c:pt>
                <c:pt idx="2">
                  <c:v>0.53525215133990445</c:v>
                </c:pt>
                <c:pt idx="3">
                  <c:v>0.38343290257864932</c:v>
                </c:pt>
                <c:pt idx="4">
                  <c:v>0.29864100723751225</c:v>
                </c:pt>
                <c:pt idx="5">
                  <c:v>0.24453930516406422</c:v>
                </c:pt>
                <c:pt idx="6">
                  <c:v>0.20702549089606784</c:v>
                </c:pt>
                <c:pt idx="7">
                  <c:v>0.17948706366013753</c:v>
                </c:pt>
                <c:pt idx="8">
                  <c:v>0.15841304997189004</c:v>
                </c:pt>
                <c:pt idx="9">
                  <c:v>0.1417667913802777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77B-48E0-A35C-7C9DB13F7F1D}"/>
            </c:ext>
          </c:extLst>
        </c:ser>
        <c:bandFmts>
          <c:bandFm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563800360"/>
        <c:axId val="1"/>
        <c:axId val="2"/>
      </c:surface3DChart>
      <c:catAx>
        <c:axId val="563800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5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Wind velocities</a:t>
                </a:r>
              </a:p>
            </c:rich>
          </c:tx>
          <c:layout>
            <c:manualLayout>
              <c:xMode val="edge"/>
              <c:yMode val="edge"/>
              <c:x val="3.9215787359227525E-2"/>
              <c:y val="0.751457379386063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1"/>
      </c:cat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sz="55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Concentration</a:t>
                </a:r>
              </a:p>
            </c:rich>
          </c:tx>
          <c:layout>
            <c:manualLayout>
              <c:xMode val="edge"/>
              <c:yMode val="edge"/>
              <c:x val="0.74208336079769011"/>
              <c:y val="0.500971586257375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563800360"/>
        <c:crosses val="max"/>
        <c:crossBetween val="between"/>
      </c:valAx>
      <c:serAx>
        <c:axId val="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5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Distance downwind</a:t>
                </a:r>
              </a:p>
            </c:rich>
          </c:tx>
          <c:layout>
            <c:manualLayout>
              <c:xMode val="edge"/>
              <c:yMode val="edge"/>
              <c:x val="0.4705894483107303"/>
              <c:y val="0.86602064911158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101290634513177"/>
          <c:y val="0.44854432723044113"/>
          <c:w val="7.2398376663189282E-2"/>
          <c:h val="0.200000284436084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50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23</xdr:row>
      <xdr:rowOff>25400</xdr:rowOff>
    </xdr:from>
    <xdr:to>
      <xdr:col>19</xdr:col>
      <xdr:colOff>0</xdr:colOff>
      <xdr:row>43</xdr:row>
      <xdr:rowOff>120650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21F8EA4A-9B4F-46B9-80F9-CE842245C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23</xdr:row>
      <xdr:rowOff>25400</xdr:rowOff>
    </xdr:from>
    <xdr:to>
      <xdr:col>10</xdr:col>
      <xdr:colOff>209550</xdr:colOff>
      <xdr:row>43</xdr:row>
      <xdr:rowOff>120650</xdr:rowOff>
    </xdr:to>
    <xdr:graphicFrame macro="">
      <xdr:nvGraphicFramePr>
        <xdr:cNvPr id="1030" name="Chart 6">
          <a:extLst>
            <a:ext uri="{FF2B5EF4-FFF2-40B4-BE49-F238E27FC236}">
              <a16:creationId xmlns:a16="http://schemas.microsoft.com/office/drawing/2014/main" id="{DD967406-1A99-43A6-B1B5-BE25268BC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tabSelected="1" zoomScale="90" zoomScaleNormal="90" workbookViewId="0">
      <selection activeCell="Q52" sqref="Q52"/>
    </sheetView>
  </sheetViews>
  <sheetFormatPr defaultColWidth="12.453125" defaultRowHeight="12.5"/>
  <cols>
    <col min="1" max="1" width="10" customWidth="1"/>
    <col min="2" max="2" width="11.7265625" customWidth="1"/>
    <col min="3" max="3" width="5.7265625" customWidth="1"/>
    <col min="4" max="4" width="2" customWidth="1"/>
    <col min="5" max="14" width="5.7265625" customWidth="1"/>
    <col min="15" max="15" width="8.7265625" customWidth="1"/>
  </cols>
  <sheetData>
    <row r="1" spans="1:17" s="4" customFormat="1" ht="13">
      <c r="A1" s="4" t="s">
        <v>0</v>
      </c>
    </row>
    <row r="3" spans="1:17" ht="13">
      <c r="A3" s="4" t="s">
        <v>1</v>
      </c>
      <c r="E3" s="2">
        <v>30</v>
      </c>
      <c r="I3" s="4" t="s">
        <v>2</v>
      </c>
      <c r="J3" s="4"/>
      <c r="K3" s="4"/>
      <c r="M3" s="2">
        <v>5</v>
      </c>
    </row>
    <row r="4" spans="1:17" ht="13">
      <c r="A4" s="4" t="s">
        <v>3</v>
      </c>
      <c r="E4" s="2">
        <v>2</v>
      </c>
      <c r="I4" s="4" t="s">
        <v>4</v>
      </c>
      <c r="J4" s="4"/>
      <c r="K4" s="4"/>
      <c r="M4" s="2">
        <v>200</v>
      </c>
    </row>
    <row r="5" spans="1:17" ht="13">
      <c r="A5" s="4" t="s">
        <v>5</v>
      </c>
      <c r="E5" s="2">
        <v>10</v>
      </c>
      <c r="I5" s="4" t="s">
        <v>6</v>
      </c>
      <c r="J5" s="4"/>
      <c r="K5" s="4"/>
      <c r="M5" s="2">
        <v>20</v>
      </c>
    </row>
    <row r="7" spans="1:17" ht="13">
      <c r="A7" s="4" t="s">
        <v>7</v>
      </c>
      <c r="H7" s="4" t="s">
        <v>8</v>
      </c>
      <c r="I7" s="4"/>
      <c r="J7" s="4"/>
      <c r="K7" s="4"/>
      <c r="L7" s="4"/>
      <c r="M7" s="4" t="s">
        <v>9</v>
      </c>
      <c r="N7" s="4"/>
      <c r="Q7" s="5">
        <v>0</v>
      </c>
    </row>
    <row r="8" spans="1:17" ht="13">
      <c r="A8" s="4" t="s">
        <v>10</v>
      </c>
      <c r="E8" s="2">
        <v>4</v>
      </c>
      <c r="H8" s="4" t="s">
        <v>11</v>
      </c>
      <c r="I8" s="4"/>
      <c r="J8" s="4"/>
      <c r="K8" s="4"/>
      <c r="L8" s="4"/>
      <c r="M8" s="4" t="s">
        <v>12</v>
      </c>
      <c r="N8" s="4"/>
      <c r="Q8" s="5">
        <v>0.5</v>
      </c>
    </row>
    <row r="9" spans="1:17" ht="13">
      <c r="A9" s="4" t="s">
        <v>13</v>
      </c>
      <c r="H9" s="4" t="s">
        <v>14</v>
      </c>
      <c r="I9" s="4"/>
      <c r="J9" s="4"/>
      <c r="K9" s="4"/>
      <c r="L9" s="4"/>
      <c r="M9" s="4" t="s">
        <v>15</v>
      </c>
      <c r="N9" s="4"/>
      <c r="Q9" s="5">
        <v>0.8</v>
      </c>
    </row>
    <row r="10" spans="1:17" ht="13">
      <c r="A10" s="4"/>
      <c r="Q10" s="5">
        <v>1.5</v>
      </c>
    </row>
    <row r="11" spans="1:17" ht="13">
      <c r="A11" s="5" t="s">
        <v>16</v>
      </c>
      <c r="C11" s="4" t="s">
        <v>17</v>
      </c>
      <c r="D11" s="4"/>
      <c r="E11" s="4" t="s">
        <v>18</v>
      </c>
      <c r="F11" s="4"/>
      <c r="G11" s="4"/>
      <c r="H11" s="4"/>
      <c r="I11" s="4"/>
      <c r="J11" s="4"/>
      <c r="K11" s="4"/>
      <c r="L11" s="4"/>
      <c r="M11" s="4"/>
      <c r="N11" s="4"/>
      <c r="O11" s="4"/>
      <c r="Q11" s="5">
        <v>3</v>
      </c>
    </row>
    <row r="12" spans="1:17" ht="13">
      <c r="A12" s="5" t="s">
        <v>33</v>
      </c>
      <c r="C12" s="4" t="s">
        <v>19</v>
      </c>
      <c r="D12" s="4"/>
      <c r="E12" s="4" t="s">
        <v>20</v>
      </c>
      <c r="F12" s="4"/>
      <c r="G12" s="4"/>
      <c r="H12" s="4"/>
      <c r="I12" s="4"/>
      <c r="J12" s="4"/>
      <c r="K12" s="4"/>
      <c r="L12" s="4"/>
      <c r="M12" s="4"/>
      <c r="N12" s="4"/>
      <c r="O12" s="4"/>
      <c r="Q12" s="5">
        <v>5</v>
      </c>
    </row>
    <row r="13" spans="1:17" ht="13">
      <c r="A13" s="5" t="s">
        <v>16</v>
      </c>
      <c r="C13" s="4" t="s">
        <v>21</v>
      </c>
      <c r="D13" s="4"/>
      <c r="E13" s="5">
        <v>0</v>
      </c>
      <c r="F13" s="5">
        <v>0.5</v>
      </c>
      <c r="G13" s="5">
        <v>0.8</v>
      </c>
      <c r="H13" s="5">
        <v>1.5</v>
      </c>
      <c r="I13" s="5">
        <v>3</v>
      </c>
      <c r="J13" s="5">
        <v>5</v>
      </c>
      <c r="K13" s="5">
        <v>10</v>
      </c>
      <c r="L13" s="5">
        <v>20</v>
      </c>
      <c r="M13" s="5">
        <v>35</v>
      </c>
      <c r="N13" s="5">
        <v>60</v>
      </c>
      <c r="O13" s="5">
        <v>100</v>
      </c>
      <c r="Q13" s="5">
        <v>10</v>
      </c>
    </row>
    <row r="14" spans="1:17" ht="13">
      <c r="A14">
        <v>1</v>
      </c>
      <c r="C14">
        <f>IF(E$8&lt;5,E$3+B$51/A14,E$3+2.4*EXP(LN(B$49/(B$52*A14))/3))</f>
        <v>222.16013699184728</v>
      </c>
      <c r="E14" s="3">
        <f>IF(OR(E$63&lt;0.01, E$72&lt;0.01),0,1000000*$E$5/(2*PI()*E$63*E$72*$A14)*2*(EXP(-0.5*($C14/E$72)^2)))</f>
        <v>0</v>
      </c>
      <c r="F14" s="3">
        <f t="shared" ref="E14:O23" si="0">IF(OR(F$63&lt;0.01, F$72&lt;0.01),0,1000000*$E$5/(2*PI()*F$63*F$72*$A14)*2*(EXP(-0.5*($C14/F$72)^2)))</f>
        <v>5.2063177823670715E-18</v>
      </c>
      <c r="G14" s="3">
        <f t="shared" si="0"/>
        <v>9.3280516463965954E-8</v>
      </c>
      <c r="H14" s="3">
        <f t="shared" si="0"/>
        <v>2.8546566873032059E-2</v>
      </c>
      <c r="I14" s="3">
        <f t="shared" si="0"/>
        <v>2.9868927856068517</v>
      </c>
      <c r="J14" s="3">
        <f t="shared" si="0"/>
        <v>9.2094085434974335</v>
      </c>
      <c r="K14" s="3">
        <f t="shared" si="0"/>
        <v>12.527318572921688</v>
      </c>
      <c r="L14" s="3">
        <f t="shared" si="0"/>
        <v>9.3987497046003803</v>
      </c>
      <c r="M14" s="3">
        <f t="shared" si="0"/>
        <v>6.2264206710026286</v>
      </c>
      <c r="N14" s="3">
        <f t="shared" si="0"/>
        <v>3.9095183086348002</v>
      </c>
      <c r="O14" s="3">
        <f t="shared" si="0"/>
        <v>2.4369154580142505</v>
      </c>
      <c r="P14" s="3"/>
      <c r="Q14" s="5">
        <v>20</v>
      </c>
    </row>
    <row r="15" spans="1:17" ht="13">
      <c r="A15">
        <f t="shared" ref="A15:A23" si="1">A14+2</f>
        <v>3</v>
      </c>
      <c r="C15">
        <f t="shared" ref="C14:C23" si="2">IF(E$8&lt;5,E$3+B$51/A15,E$3+2.4*EXP(LN(B$49/(B$52*A15))/3))</f>
        <v>94.053378997282422</v>
      </c>
      <c r="E15" s="3">
        <f t="shared" si="0"/>
        <v>0</v>
      </c>
      <c r="F15" s="3">
        <f t="shared" si="0"/>
        <v>0.22059315459070833</v>
      </c>
      <c r="G15" s="3">
        <f t="shared" si="0"/>
        <v>7.7991105722095062</v>
      </c>
      <c r="H15" s="3">
        <f t="shared" si="0"/>
        <v>32.200835363491855</v>
      </c>
      <c r="I15" s="3">
        <f t="shared" si="0"/>
        <v>30.99707190858485</v>
      </c>
      <c r="J15" s="3">
        <f t="shared" si="0"/>
        <v>20.791463909250286</v>
      </c>
      <c r="K15" s="3">
        <f t="shared" si="0"/>
        <v>10.272818439274518</v>
      </c>
      <c r="L15" s="3">
        <f t="shared" si="0"/>
        <v>4.8452541872222605</v>
      </c>
      <c r="M15" s="3">
        <f t="shared" si="0"/>
        <v>2.6535748768783494</v>
      </c>
      <c r="N15" s="3">
        <f t="shared" si="0"/>
        <v>1.5023360907784458</v>
      </c>
      <c r="O15" s="3">
        <f t="shared" si="0"/>
        <v>0.88433206714945511</v>
      </c>
      <c r="Q15" s="5">
        <v>35</v>
      </c>
    </row>
    <row r="16" spans="1:17" ht="13">
      <c r="A16">
        <f t="shared" si="1"/>
        <v>5</v>
      </c>
      <c r="C16">
        <f t="shared" si="2"/>
        <v>68.432027398369456</v>
      </c>
      <c r="E16" s="3">
        <f t="shared" si="0"/>
        <v>0</v>
      </c>
      <c r="F16" s="3">
        <f t="shared" si="0"/>
        <v>7.5775759402451293</v>
      </c>
      <c r="G16" s="3">
        <f t="shared" si="0"/>
        <v>34.150361785589993</v>
      </c>
      <c r="H16" s="3">
        <f t="shared" si="0"/>
        <v>44.538577733676853</v>
      </c>
      <c r="I16" s="3">
        <f t="shared" si="0"/>
        <v>26.480703450099355</v>
      </c>
      <c r="J16" s="3">
        <f t="shared" si="0"/>
        <v>15.184991234966633</v>
      </c>
      <c r="K16" s="3">
        <f t="shared" si="0"/>
        <v>6.7611232338463312</v>
      </c>
      <c r="L16" s="3">
        <f t="shared" si="0"/>
        <v>3.040388136846099</v>
      </c>
      <c r="M16" s="3">
        <f t="shared" si="0"/>
        <v>1.6328622480797443</v>
      </c>
      <c r="N16" s="3">
        <f t="shared" si="0"/>
        <v>0.91467311717142263</v>
      </c>
      <c r="O16" s="3">
        <f t="shared" si="0"/>
        <v>0.53525215133990445</v>
      </c>
      <c r="Q16" s="5">
        <v>60</v>
      </c>
    </row>
    <row r="17" spans="1:17" ht="13">
      <c r="A17">
        <f t="shared" si="1"/>
        <v>7</v>
      </c>
      <c r="C17">
        <f t="shared" si="2"/>
        <v>57.451448141692467</v>
      </c>
      <c r="E17" s="3">
        <f t="shared" si="0"/>
        <v>0</v>
      </c>
      <c r="F17" s="3">
        <f t="shared" si="0"/>
        <v>20.751076187636151</v>
      </c>
      <c r="G17" s="3">
        <f t="shared" si="0"/>
        <v>47.192762264071796</v>
      </c>
      <c r="H17" s="3">
        <f t="shared" si="0"/>
        <v>41.979921466298599</v>
      </c>
      <c r="I17" s="3">
        <f t="shared" si="0"/>
        <v>21.269341171846975</v>
      </c>
      <c r="J17" s="3">
        <f t="shared" si="0"/>
        <v>11.578029691359786</v>
      </c>
      <c r="K17" s="3">
        <f t="shared" si="0"/>
        <v>4.9800203976127033</v>
      </c>
      <c r="L17" s="3">
        <f t="shared" si="0"/>
        <v>2.2042594130752859</v>
      </c>
      <c r="M17" s="3">
        <f t="shared" si="0"/>
        <v>1.1761504293002678</v>
      </c>
      <c r="N17" s="3">
        <f t="shared" si="0"/>
        <v>0.65651622312781133</v>
      </c>
      <c r="O17" s="3">
        <f t="shared" si="0"/>
        <v>0.38343290257864932</v>
      </c>
      <c r="Q17" s="5">
        <v>100</v>
      </c>
    </row>
    <row r="18" spans="1:17">
      <c r="A18">
        <f t="shared" si="1"/>
        <v>9</v>
      </c>
      <c r="C18">
        <f t="shared" si="2"/>
        <v>51.351126332427476</v>
      </c>
      <c r="E18" s="3">
        <f t="shared" si="0"/>
        <v>0</v>
      </c>
      <c r="F18" s="3">
        <f t="shared" si="0"/>
        <v>30.77114607343864</v>
      </c>
      <c r="G18" s="3">
        <f t="shared" si="0"/>
        <v>50.390941970046974</v>
      </c>
      <c r="H18" s="3">
        <f t="shared" si="0"/>
        <v>37.301474969360228</v>
      </c>
      <c r="I18" s="3">
        <f t="shared" si="0"/>
        <v>17.501514059795237</v>
      </c>
      <c r="J18" s="3">
        <f t="shared" si="0"/>
        <v>9.2918504593578923</v>
      </c>
      <c r="K18" s="3">
        <f t="shared" si="0"/>
        <v>3.9309028415202345</v>
      </c>
      <c r="L18" s="3">
        <f t="shared" si="0"/>
        <v>1.7267162455261549</v>
      </c>
      <c r="M18" s="3">
        <f t="shared" si="0"/>
        <v>0.91847403842487996</v>
      </c>
      <c r="N18" s="3">
        <f t="shared" si="0"/>
        <v>0.51181498593689889</v>
      </c>
      <c r="O18" s="3">
        <f t="shared" si="0"/>
        <v>0.29864100723751225</v>
      </c>
    </row>
    <row r="19" spans="1:17">
      <c r="A19">
        <f t="shared" si="1"/>
        <v>11</v>
      </c>
      <c r="C19">
        <f t="shared" si="2"/>
        <v>47.469103362895211</v>
      </c>
      <c r="E19" s="3">
        <f t="shared" si="0"/>
        <v>0</v>
      </c>
      <c r="F19" s="3">
        <f t="shared" si="0"/>
        <v>36.55701012697822</v>
      </c>
      <c r="G19" s="3">
        <f t="shared" si="0"/>
        <v>49.515898356820308</v>
      </c>
      <c r="H19" s="3">
        <f t="shared" si="0"/>
        <v>32.96094771372141</v>
      </c>
      <c r="I19" s="3">
        <f t="shared" si="0"/>
        <v>14.793342415422126</v>
      </c>
      <c r="J19" s="3">
        <f t="shared" si="0"/>
        <v>7.7413998322455342</v>
      </c>
      <c r="K19" s="3">
        <f t="shared" si="0"/>
        <v>3.243728296225354</v>
      </c>
      <c r="L19" s="3">
        <f t="shared" si="0"/>
        <v>1.4186135965994289</v>
      </c>
      <c r="M19" s="3">
        <f t="shared" si="0"/>
        <v>0.75322945679824094</v>
      </c>
      <c r="N19" s="3">
        <f t="shared" si="0"/>
        <v>0.41932208803884319</v>
      </c>
      <c r="O19" s="3">
        <f t="shared" si="0"/>
        <v>0.24453930516406422</v>
      </c>
    </row>
    <row r="20" spans="1:17">
      <c r="A20">
        <f t="shared" si="1"/>
        <v>13</v>
      </c>
      <c r="C20">
        <f t="shared" si="2"/>
        <v>44.781548999372866</v>
      </c>
      <c r="E20" s="3">
        <f t="shared" si="0"/>
        <v>0</v>
      </c>
      <c r="F20" s="3">
        <f t="shared" si="0"/>
        <v>39.364351214301976</v>
      </c>
      <c r="G20" s="3">
        <f t="shared" si="0"/>
        <v>47.162940352931827</v>
      </c>
      <c r="H20" s="3">
        <f t="shared" si="0"/>
        <v>29.312327005162356</v>
      </c>
      <c r="I20" s="3">
        <f t="shared" si="0"/>
        <v>12.783643271110479</v>
      </c>
      <c r="J20" s="3">
        <f t="shared" si="0"/>
        <v>6.6275565048010554</v>
      </c>
      <c r="K20" s="3">
        <f t="shared" si="0"/>
        <v>2.7598568645151298</v>
      </c>
      <c r="L20" s="3">
        <f t="shared" si="0"/>
        <v>1.203573015820782</v>
      </c>
      <c r="M20" s="3">
        <f t="shared" si="0"/>
        <v>0.63830721507566246</v>
      </c>
      <c r="N20" s="3">
        <f t="shared" si="0"/>
        <v>0.35511996962279191</v>
      </c>
      <c r="O20" s="3">
        <f t="shared" si="0"/>
        <v>0.20702549089606784</v>
      </c>
    </row>
    <row r="21" spans="1:17">
      <c r="A21">
        <f t="shared" si="1"/>
        <v>15</v>
      </c>
      <c r="C21">
        <f t="shared" si="2"/>
        <v>42.810675799456483</v>
      </c>
      <c r="E21" s="3">
        <f t="shared" si="0"/>
        <v>0</v>
      </c>
      <c r="F21" s="3">
        <f t="shared" si="0"/>
        <v>40.35024934157704</v>
      </c>
      <c r="G21" s="3">
        <f t="shared" si="0"/>
        <v>44.386169715547787</v>
      </c>
      <c r="H21" s="3">
        <f t="shared" si="0"/>
        <v>26.299252011848296</v>
      </c>
      <c r="I21" s="3">
        <f t="shared" si="0"/>
        <v>11.242690085091962</v>
      </c>
      <c r="J21" s="3">
        <f t="shared" si="0"/>
        <v>5.7908985130912951</v>
      </c>
      <c r="K21" s="3">
        <f t="shared" si="0"/>
        <v>2.4010695086406897</v>
      </c>
      <c r="L21" s="3">
        <f t="shared" si="0"/>
        <v>1.0450367022468734</v>
      </c>
      <c r="M21" s="3">
        <f t="shared" si="0"/>
        <v>0.55377917347232863</v>
      </c>
      <c r="N21" s="3">
        <f t="shared" si="0"/>
        <v>0.30795723080175041</v>
      </c>
      <c r="O21" s="3">
        <f t="shared" si="0"/>
        <v>0.17948706366013753</v>
      </c>
    </row>
    <row r="22" spans="1:17">
      <c r="A22">
        <f t="shared" si="1"/>
        <v>17</v>
      </c>
      <c r="C22">
        <f t="shared" si="2"/>
        <v>41.303537470108665</v>
      </c>
      <c r="E22" s="3">
        <f t="shared" si="0"/>
        <v>0</v>
      </c>
      <c r="F22" s="3">
        <f t="shared" si="0"/>
        <v>40.273140118287778</v>
      </c>
      <c r="G22" s="3">
        <f t="shared" si="0"/>
        <v>41.607876755148865</v>
      </c>
      <c r="H22" s="3">
        <f t="shared" si="0"/>
        <v>23.802960420385336</v>
      </c>
      <c r="I22" s="3">
        <f t="shared" si="0"/>
        <v>10.027335890851177</v>
      </c>
      <c r="J22" s="3">
        <f t="shared" si="0"/>
        <v>5.1402965079707261</v>
      </c>
      <c r="K22" s="3">
        <f t="shared" si="0"/>
        <v>2.1245675458812769</v>
      </c>
      <c r="L22" s="3">
        <f t="shared" si="0"/>
        <v>0.92335031281920521</v>
      </c>
      <c r="M22" s="3">
        <f t="shared" si="0"/>
        <v>0.48900456630722738</v>
      </c>
      <c r="N22" s="3">
        <f t="shared" si="0"/>
        <v>0.27184793295350179</v>
      </c>
      <c r="O22" s="3">
        <f t="shared" si="0"/>
        <v>0.15841304997189004</v>
      </c>
    </row>
    <row r="23" spans="1:17">
      <c r="A23">
        <f t="shared" si="1"/>
        <v>19</v>
      </c>
      <c r="C23">
        <f t="shared" si="2"/>
        <v>40.113691420623539</v>
      </c>
      <c r="E23" s="3">
        <f t="shared" si="0"/>
        <v>0</v>
      </c>
      <c r="F23" s="3">
        <f t="shared" si="0"/>
        <v>39.592596270872541</v>
      </c>
      <c r="G23" s="3">
        <f t="shared" si="0"/>
        <v>38.990360610433775</v>
      </c>
      <c r="H23" s="3">
        <f t="shared" si="0"/>
        <v>21.715339877870477</v>
      </c>
      <c r="I23" s="3">
        <f t="shared" si="0"/>
        <v>9.0459002593332016</v>
      </c>
      <c r="J23" s="3">
        <f t="shared" si="0"/>
        <v>4.6203004392523335</v>
      </c>
      <c r="K23" s="3">
        <f t="shared" si="0"/>
        <v>1.9050254986038277</v>
      </c>
      <c r="L23" s="3">
        <f t="shared" si="0"/>
        <v>0.82701745829867535</v>
      </c>
      <c r="M23" s="3">
        <f t="shared" si="0"/>
        <v>0.43778757606452534</v>
      </c>
      <c r="N23" s="3">
        <f t="shared" si="0"/>
        <v>0.24331509976412752</v>
      </c>
      <c r="O23" s="3">
        <f t="shared" si="0"/>
        <v>0.1417667913802777</v>
      </c>
    </row>
    <row r="45" spans="2:7" s="4" customFormat="1" ht="13"/>
    <row r="46" spans="2:7" ht="13">
      <c r="B46" s="4" t="s">
        <v>22</v>
      </c>
    </row>
    <row r="47" spans="2:7" ht="13">
      <c r="B47" s="3">
        <f>M4+273.15</f>
        <v>473.15</v>
      </c>
      <c r="E47" s="4" t="s">
        <v>23</v>
      </c>
      <c r="F47" s="4"/>
      <c r="G47" s="4"/>
    </row>
    <row r="48" spans="2:7" ht="13">
      <c r="B48" s="3">
        <f>M5+273.15</f>
        <v>293.14999999999998</v>
      </c>
      <c r="E48" s="4" t="s">
        <v>24</v>
      </c>
      <c r="F48" s="4"/>
      <c r="G48" s="4"/>
    </row>
    <row r="49" spans="1:18" ht="13">
      <c r="B49" s="7">
        <f>3.12*0.785*M3*E4^2*(B47-B48)/B47</f>
        <v>18.634936066786434</v>
      </c>
      <c r="E49" s="4" t="s">
        <v>27</v>
      </c>
      <c r="F49" s="4"/>
      <c r="G49" s="4"/>
    </row>
    <row r="50" spans="1:18" ht="13">
      <c r="B50" s="7">
        <f>IF(B49&gt;55, 34*(EXP(0.4*LN(B49))),14*(EXP(0.625*LN(B49))))</f>
        <v>87.113001479392338</v>
      </c>
      <c r="E50" s="4" t="s">
        <v>28</v>
      </c>
      <c r="F50" s="4"/>
      <c r="G50" s="4"/>
    </row>
    <row r="51" spans="1:18" ht="13">
      <c r="B51" s="7">
        <f>1.6*EXP(LN(B49)/3)*EXP(LN(3.5*B50)*2/3)</f>
        <v>192.16013699184728</v>
      </c>
      <c r="E51" s="4" t="s">
        <v>29</v>
      </c>
      <c r="F51" s="4"/>
      <c r="G51" s="4"/>
    </row>
    <row r="52" spans="1:18" ht="13">
      <c r="B52" s="8">
        <f>IF(E8&lt;6, 9.806*0.02/B48,9.806*0.035/B48)</f>
        <v>6.6900903974074707E-4</v>
      </c>
      <c r="E52" s="4" t="s">
        <v>30</v>
      </c>
      <c r="F52" s="4"/>
      <c r="G52" s="4"/>
    </row>
    <row r="54" spans="1:18" s="4" customFormat="1" ht="13">
      <c r="A54" s="4" t="s">
        <v>25</v>
      </c>
    </row>
    <row r="55" spans="1:18" s="5" customFormat="1" ht="13">
      <c r="A55" s="5" t="s">
        <v>26</v>
      </c>
      <c r="B55" s="5">
        <v>1</v>
      </c>
      <c r="C55" s="5">
        <v>2</v>
      </c>
      <c r="D55" s="5">
        <v>3</v>
      </c>
      <c r="E55" s="5">
        <v>4</v>
      </c>
      <c r="F55" s="5">
        <v>5</v>
      </c>
      <c r="G55" s="5">
        <v>6</v>
      </c>
      <c r="H55" s="5">
        <v>7</v>
      </c>
      <c r="I55" s="5">
        <v>8</v>
      </c>
      <c r="J55" s="5">
        <v>9</v>
      </c>
      <c r="K55" s="5">
        <v>10</v>
      </c>
      <c r="L55" s="5">
        <v>11</v>
      </c>
      <c r="M55" s="5">
        <v>12</v>
      </c>
      <c r="N55" s="5">
        <v>13</v>
      </c>
      <c r="O55" s="5">
        <v>14</v>
      </c>
    </row>
    <row r="56" spans="1:18" ht="13">
      <c r="A56" s="5" t="s">
        <v>34</v>
      </c>
      <c r="B56">
        <v>1</v>
      </c>
      <c r="E56" s="3">
        <f>0.22*1000*E13*(1/SQRT(1+0.1*E13))</f>
        <v>0</v>
      </c>
      <c r="F56" s="3">
        <f t="shared" ref="F56:O56" si="3">0.22*1000*F13*(1/SQRT(1+0.1*F13))</f>
        <v>107.34900802433864</v>
      </c>
      <c r="G56" s="3">
        <f t="shared" si="3"/>
        <v>169.35607896229021</v>
      </c>
      <c r="H56" s="3">
        <f t="shared" si="3"/>
        <v>307.72658671930355</v>
      </c>
      <c r="I56" s="3">
        <f t="shared" si="3"/>
        <v>578.85829274263926</v>
      </c>
      <c r="J56" s="3">
        <f t="shared" si="3"/>
        <v>898.1462390204988</v>
      </c>
      <c r="K56" s="3">
        <f t="shared" si="3"/>
        <v>1555.6349186104044</v>
      </c>
      <c r="L56" s="3">
        <f t="shared" si="3"/>
        <v>2540.3411844343536</v>
      </c>
      <c r="M56" s="3">
        <f t="shared" si="3"/>
        <v>3629.8148100909443</v>
      </c>
      <c r="N56" s="3">
        <f t="shared" si="3"/>
        <v>4989.131043721799</v>
      </c>
      <c r="O56" s="3">
        <f t="shared" si="3"/>
        <v>6633.2495807107998</v>
      </c>
      <c r="P56" s="2"/>
      <c r="Q56" s="2"/>
      <c r="R56" s="2"/>
    </row>
    <row r="57" spans="1:18" ht="13">
      <c r="A57" s="5" t="s">
        <v>35</v>
      </c>
      <c r="B57">
        <v>2</v>
      </c>
      <c r="E57" s="3">
        <f>0.16*1000*E13*(1/SQRT(1+0.1*E13))</f>
        <v>0</v>
      </c>
      <c r="F57" s="3">
        <f t="shared" ref="F57:O57" si="4">0.16*1000*F13*(1/SQRT(1+0.1*F13))</f>
        <v>78.072005835882649</v>
      </c>
      <c r="G57" s="3">
        <f t="shared" si="4"/>
        <v>123.16805742712015</v>
      </c>
      <c r="H57" s="3">
        <f t="shared" si="4"/>
        <v>223.80115397767531</v>
      </c>
      <c r="I57" s="3">
        <f t="shared" si="4"/>
        <v>420.98784926737403</v>
      </c>
      <c r="J57" s="3">
        <f t="shared" si="4"/>
        <v>653.19726474218089</v>
      </c>
      <c r="K57" s="3">
        <f t="shared" si="4"/>
        <v>1131.3708498984759</v>
      </c>
      <c r="L57" s="3">
        <f t="shared" si="4"/>
        <v>1847.5208614068026</v>
      </c>
      <c r="M57" s="3">
        <f t="shared" si="4"/>
        <v>2639.8653164297775</v>
      </c>
      <c r="N57" s="3">
        <f t="shared" si="4"/>
        <v>3628.4589408885813</v>
      </c>
      <c r="O57" s="3">
        <f t="shared" si="4"/>
        <v>4824.181513244218</v>
      </c>
      <c r="P57" s="2"/>
      <c r="Q57" s="2"/>
      <c r="R57" s="2"/>
    </row>
    <row r="58" spans="1:18" ht="13">
      <c r="A58" s="5" t="s">
        <v>36</v>
      </c>
      <c r="B58">
        <v>3</v>
      </c>
      <c r="E58" s="3">
        <f>0.11*1000*E13*(1/SQRT(1+0.1*E13))</f>
        <v>0</v>
      </c>
      <c r="F58" s="3">
        <f t="shared" ref="F58:O58" si="5">0.11*1000*F13*(1/SQRT(1+0.1*F13))</f>
        <v>53.674504012169322</v>
      </c>
      <c r="G58" s="3">
        <f t="shared" si="5"/>
        <v>84.678039481145106</v>
      </c>
      <c r="H58" s="3">
        <f t="shared" si="5"/>
        <v>153.86329335965178</v>
      </c>
      <c r="I58" s="3">
        <f t="shared" si="5"/>
        <v>289.42914637131963</v>
      </c>
      <c r="J58" s="3">
        <f t="shared" si="5"/>
        <v>449.0731195102494</v>
      </c>
      <c r="K58" s="3">
        <f t="shared" si="5"/>
        <v>777.81745930520219</v>
      </c>
      <c r="L58" s="3">
        <f t="shared" si="5"/>
        <v>1270.1705922171768</v>
      </c>
      <c r="M58" s="3">
        <f t="shared" si="5"/>
        <v>1814.9074050454722</v>
      </c>
      <c r="N58" s="3">
        <f t="shared" si="5"/>
        <v>2494.5655218608995</v>
      </c>
      <c r="O58" s="3">
        <f t="shared" si="5"/>
        <v>3316.6247903553999</v>
      </c>
      <c r="P58" s="2"/>
      <c r="Q58" s="2"/>
      <c r="R58" s="2"/>
    </row>
    <row r="59" spans="1:18">
      <c r="B59">
        <v>4</v>
      </c>
      <c r="E59" s="3">
        <f>0.08*1000*E13*(1/SQRT(1+0.1*E13))</f>
        <v>0</v>
      </c>
      <c r="F59" s="3">
        <f t="shared" ref="F59:O59" si="6">0.08*1000*F13*(1/SQRT(1+0.1*F13))</f>
        <v>39.036002917941325</v>
      </c>
      <c r="G59" s="3">
        <f t="shared" si="6"/>
        <v>61.584028713560073</v>
      </c>
      <c r="H59" s="3">
        <f t="shared" si="6"/>
        <v>111.90057698883766</v>
      </c>
      <c r="I59" s="3">
        <f t="shared" si="6"/>
        <v>210.49392463368702</v>
      </c>
      <c r="J59" s="3">
        <f t="shared" si="6"/>
        <v>326.59863237109045</v>
      </c>
      <c r="K59" s="3">
        <f t="shared" si="6"/>
        <v>565.68542494923793</v>
      </c>
      <c r="L59" s="3">
        <f t="shared" si="6"/>
        <v>923.76043070340131</v>
      </c>
      <c r="M59" s="3">
        <f t="shared" si="6"/>
        <v>1319.9326582148888</v>
      </c>
      <c r="N59" s="3">
        <f t="shared" si="6"/>
        <v>1814.2294704442907</v>
      </c>
      <c r="O59" s="3">
        <f t="shared" si="6"/>
        <v>2412.090756622109</v>
      </c>
      <c r="P59" s="2"/>
      <c r="Q59" s="2"/>
      <c r="R59" s="2"/>
    </row>
    <row r="60" spans="1:18">
      <c r="B60">
        <v>5</v>
      </c>
      <c r="E60" s="3">
        <f>0.06*1000*E13*(1/SQRT(1+0.1*E13))</f>
        <v>0</v>
      </c>
      <c r="F60" s="3">
        <f t="shared" ref="F60:O60" si="7">0.06*1000*F13*(1/SQRT(1+0.1*F13))</f>
        <v>29.277002188455992</v>
      </c>
      <c r="G60" s="3">
        <f t="shared" si="7"/>
        <v>46.188021535170051</v>
      </c>
      <c r="H60" s="3">
        <f t="shared" si="7"/>
        <v>83.925432741628242</v>
      </c>
      <c r="I60" s="3">
        <f t="shared" si="7"/>
        <v>157.87044347526526</v>
      </c>
      <c r="J60" s="3">
        <f t="shared" si="7"/>
        <v>244.94897427831785</v>
      </c>
      <c r="K60" s="3">
        <f t="shared" si="7"/>
        <v>424.26406871192847</v>
      </c>
      <c r="L60" s="3">
        <f t="shared" si="7"/>
        <v>692.82032302755101</v>
      </c>
      <c r="M60" s="3">
        <f t="shared" si="7"/>
        <v>989.94949366116668</v>
      </c>
      <c r="N60" s="3">
        <f t="shared" si="7"/>
        <v>1360.6721028332179</v>
      </c>
      <c r="O60" s="3">
        <f t="shared" si="7"/>
        <v>1809.0680674665819</v>
      </c>
      <c r="P60" s="2"/>
      <c r="Q60" s="2"/>
      <c r="R60" s="2"/>
    </row>
    <row r="61" spans="1:18">
      <c r="B61">
        <v>6</v>
      </c>
      <c r="E61" s="3">
        <f>0.04*1000*E13*(1/SQRT(1+0.1*E13))</f>
        <v>0</v>
      </c>
      <c r="F61" s="3">
        <f t="shared" ref="F61:O61" si="8">0.04*1000*F13*(1/SQRT(1+0.1*F13))</f>
        <v>19.518001458970662</v>
      </c>
      <c r="G61" s="3">
        <f t="shared" si="8"/>
        <v>30.792014356780037</v>
      </c>
      <c r="H61" s="3">
        <f t="shared" si="8"/>
        <v>55.950288494418828</v>
      </c>
      <c r="I61" s="3">
        <f t="shared" si="8"/>
        <v>105.24696231684351</v>
      </c>
      <c r="J61" s="3">
        <f t="shared" si="8"/>
        <v>163.29931618554522</v>
      </c>
      <c r="K61" s="3">
        <f t="shared" si="8"/>
        <v>282.84271247461896</v>
      </c>
      <c r="L61" s="3">
        <f t="shared" si="8"/>
        <v>461.88021535170066</v>
      </c>
      <c r="M61" s="3">
        <f t="shared" si="8"/>
        <v>659.96632910744438</v>
      </c>
      <c r="N61" s="3">
        <f t="shared" si="8"/>
        <v>907.11473522214533</v>
      </c>
      <c r="O61" s="3">
        <f t="shared" si="8"/>
        <v>1206.0453783110545</v>
      </c>
      <c r="P61" s="2"/>
      <c r="Q61" s="2"/>
      <c r="R61" s="2"/>
    </row>
    <row r="62" spans="1:18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s="1" customFormat="1" ht="13">
      <c r="A63" s="6" t="s">
        <v>31</v>
      </c>
      <c r="E63" s="3">
        <f>VLOOKUP($E$8,B$56:$O$61,4)</f>
        <v>0</v>
      </c>
      <c r="F63" s="3">
        <f>VLOOKUP($E$8,$B$56:$O$61,5)</f>
        <v>39.036002917941325</v>
      </c>
      <c r="G63" s="3">
        <f>VLOOKUP($E$8,$B$56:$O$61,6)</f>
        <v>61.584028713560073</v>
      </c>
      <c r="H63" s="3">
        <f>VLOOKUP($E$8,$B$56:$O$61,7)</f>
        <v>111.90057698883766</v>
      </c>
      <c r="I63" s="3">
        <f>VLOOKUP($E$8,$B$56:$O$61,8)</f>
        <v>210.49392463368702</v>
      </c>
      <c r="J63" s="3">
        <f>VLOOKUP($E$8,$B$56:$O$61,9)</f>
        <v>326.59863237109045</v>
      </c>
      <c r="K63" s="3">
        <f>VLOOKUP($E$8,$B$56:$O$61,10)</f>
        <v>565.68542494923793</v>
      </c>
      <c r="L63" s="3">
        <f>VLOOKUP($E$8,$B$56:$O$61,11)</f>
        <v>923.76043070340131</v>
      </c>
      <c r="M63" s="3">
        <f>VLOOKUP($E$8,$B$56:$O$61,12)</f>
        <v>1319.9326582148888</v>
      </c>
      <c r="N63" s="3">
        <f>VLOOKUP($E$8,$B$56:$O$61,13)</f>
        <v>1814.2294704442907</v>
      </c>
      <c r="O63" s="3">
        <f>VLOOKUP($E$8,$B$56:$O$61,14)</f>
        <v>2412.090756622109</v>
      </c>
      <c r="P63" s="3"/>
      <c r="Q63" s="3"/>
      <c r="R63" s="3"/>
    </row>
    <row r="64" spans="1:18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3">
      <c r="A65" s="5" t="s">
        <v>37</v>
      </c>
      <c r="B65">
        <v>1</v>
      </c>
      <c r="E65" s="2">
        <f>0.2*1000*E13</f>
        <v>0</v>
      </c>
      <c r="F65" s="3">
        <f t="shared" ref="E65:O65" si="9">0.2*1000*F13</f>
        <v>100</v>
      </c>
      <c r="G65" s="3">
        <f>0.2*1000*G13</f>
        <v>160</v>
      </c>
      <c r="H65" s="3">
        <f t="shared" si="9"/>
        <v>300</v>
      </c>
      <c r="I65" s="3">
        <f t="shared" si="9"/>
        <v>600</v>
      </c>
      <c r="J65" s="3">
        <f t="shared" si="9"/>
        <v>1000</v>
      </c>
      <c r="K65" s="3">
        <f t="shared" si="9"/>
        <v>2000</v>
      </c>
      <c r="L65" s="3">
        <f t="shared" si="9"/>
        <v>4000</v>
      </c>
      <c r="M65" s="3">
        <f t="shared" si="9"/>
        <v>7000</v>
      </c>
      <c r="N65" s="3">
        <f t="shared" si="9"/>
        <v>12000</v>
      </c>
      <c r="O65" s="3">
        <f t="shared" si="9"/>
        <v>20000</v>
      </c>
      <c r="P65" s="2"/>
      <c r="Q65" s="2"/>
      <c r="R65" s="2"/>
    </row>
    <row r="66" spans="1:18" ht="13">
      <c r="A66" s="5" t="s">
        <v>35</v>
      </c>
      <c r="B66">
        <v>2</v>
      </c>
      <c r="E66" s="2">
        <f t="shared" ref="E66:O66" si="10">0.12*1000*E13</f>
        <v>0</v>
      </c>
      <c r="F66" s="3">
        <f>0.12*1000*F13</f>
        <v>60</v>
      </c>
      <c r="G66" s="3">
        <f t="shared" si="10"/>
        <v>96</v>
      </c>
      <c r="H66" s="3">
        <f t="shared" si="10"/>
        <v>180</v>
      </c>
      <c r="I66" s="3">
        <f t="shared" si="10"/>
        <v>360</v>
      </c>
      <c r="J66" s="3">
        <f t="shared" si="10"/>
        <v>600</v>
      </c>
      <c r="K66" s="3">
        <f t="shared" si="10"/>
        <v>1200</v>
      </c>
      <c r="L66" s="3">
        <f t="shared" si="10"/>
        <v>2400</v>
      </c>
      <c r="M66" s="3">
        <f t="shared" si="10"/>
        <v>4200</v>
      </c>
      <c r="N66" s="3">
        <f t="shared" si="10"/>
        <v>7200</v>
      </c>
      <c r="O66" s="3">
        <f t="shared" si="10"/>
        <v>12000</v>
      </c>
      <c r="P66" s="2"/>
      <c r="Q66" s="2"/>
      <c r="R66" s="2"/>
    </row>
    <row r="67" spans="1:18" ht="13">
      <c r="A67" s="5" t="s">
        <v>36</v>
      </c>
      <c r="B67">
        <v>3</v>
      </c>
      <c r="E67" s="3">
        <f>0.08*1000*E13*(1/SQRT(1+0.2*E13))</f>
        <v>0</v>
      </c>
      <c r="F67" s="3">
        <f t="shared" ref="F67:O67" si="11">0.08*1000*F13*(1/SQRT(1+0.2*F13))</f>
        <v>38.13850356982369</v>
      </c>
      <c r="G67" s="3">
        <f t="shared" si="11"/>
        <v>59.422508216656588</v>
      </c>
      <c r="H67" s="3">
        <f t="shared" si="11"/>
        <v>105.24696231684351</v>
      </c>
      <c r="I67" s="3">
        <f t="shared" si="11"/>
        <v>189.73665961010275</v>
      </c>
      <c r="J67" s="3">
        <f t="shared" si="11"/>
        <v>282.84271247461896</v>
      </c>
      <c r="K67" s="3">
        <f t="shared" si="11"/>
        <v>461.88021535170066</v>
      </c>
      <c r="L67" s="3">
        <f t="shared" si="11"/>
        <v>715.54175279993274</v>
      </c>
      <c r="M67" s="3">
        <f t="shared" si="11"/>
        <v>989.94949366116646</v>
      </c>
      <c r="N67" s="3">
        <f t="shared" si="11"/>
        <v>1331.28047094055</v>
      </c>
      <c r="O67" s="3">
        <f t="shared" si="11"/>
        <v>1745.7431218879392</v>
      </c>
      <c r="P67" s="2"/>
      <c r="Q67" s="2"/>
      <c r="R67" s="2"/>
    </row>
    <row r="68" spans="1:18">
      <c r="B68">
        <v>4</v>
      </c>
      <c r="E68" s="3">
        <f>0.06*1000*E13*(1/SQRT(1+1.5*E13))</f>
        <v>0</v>
      </c>
      <c r="F68" s="3">
        <f t="shared" ref="F68:O68" si="12">0.06*1000*F13*(1/SQRT(1+1.5*F13))</f>
        <v>22.677868380553633</v>
      </c>
      <c r="G68" s="3">
        <f t="shared" si="12"/>
        <v>32.36159339823562</v>
      </c>
      <c r="H68" s="3">
        <f t="shared" si="12"/>
        <v>49.923017660270624</v>
      </c>
      <c r="I68" s="3">
        <f t="shared" si="12"/>
        <v>76.752257888019756</v>
      </c>
      <c r="J68" s="3">
        <f t="shared" si="12"/>
        <v>102.8991510855053</v>
      </c>
      <c r="K68" s="3">
        <f t="shared" si="12"/>
        <v>150</v>
      </c>
      <c r="L68" s="3">
        <f t="shared" si="12"/>
        <v>215.5263624321299</v>
      </c>
      <c r="M68" s="3">
        <f t="shared" si="12"/>
        <v>287.10608935035862</v>
      </c>
      <c r="N68" s="3">
        <f t="shared" si="12"/>
        <v>377.38254121989058</v>
      </c>
      <c r="O68" s="3">
        <f t="shared" si="12"/>
        <v>488.27307526269567</v>
      </c>
      <c r="P68" s="2"/>
      <c r="Q68" s="2"/>
      <c r="R68" s="2"/>
    </row>
    <row r="69" spans="1:18">
      <c r="B69">
        <v>5</v>
      </c>
      <c r="E69" s="3">
        <f>0.03*1000*E13*(1/(1+0.3*E13))</f>
        <v>0</v>
      </c>
      <c r="F69" s="3">
        <f t="shared" ref="F69:O69" si="13">0.03*1000*F13*(1/(1+0.3*F13))</f>
        <v>13.043478260869566</v>
      </c>
      <c r="G69" s="3">
        <f t="shared" si="13"/>
        <v>19.35483870967742</v>
      </c>
      <c r="H69" s="3">
        <f t="shared" si="13"/>
        <v>31.03448275862069</v>
      </c>
      <c r="I69" s="3">
        <f t="shared" si="13"/>
        <v>47.368421052631575</v>
      </c>
      <c r="J69" s="3">
        <f t="shared" si="13"/>
        <v>60</v>
      </c>
      <c r="K69" s="3">
        <f t="shared" si="13"/>
        <v>75</v>
      </c>
      <c r="L69" s="3">
        <f t="shared" si="13"/>
        <v>85.714285714285708</v>
      </c>
      <c r="M69" s="3">
        <f t="shared" si="13"/>
        <v>91.304347826086953</v>
      </c>
      <c r="N69" s="3">
        <f t="shared" si="13"/>
        <v>94.73684210526315</v>
      </c>
      <c r="O69" s="3">
        <f t="shared" si="13"/>
        <v>96.774193548387089</v>
      </c>
      <c r="P69" s="2"/>
      <c r="Q69" s="2"/>
      <c r="R69" s="2"/>
    </row>
    <row r="70" spans="1:18">
      <c r="B70">
        <v>6</v>
      </c>
      <c r="E70" s="3">
        <f>0.016*1000*E13*(1/(1+0.3*E13))</f>
        <v>0</v>
      </c>
      <c r="F70" s="3">
        <f t="shared" ref="F70:O70" si="14">0.016*1000*F13*(1/(1+0.3*F13))</f>
        <v>6.9565217391304355</v>
      </c>
      <c r="G70" s="3">
        <f t="shared" si="14"/>
        <v>10.322580645161292</v>
      </c>
      <c r="H70" s="3">
        <f t="shared" si="14"/>
        <v>16.551724137931036</v>
      </c>
      <c r="I70" s="3">
        <f t="shared" si="14"/>
        <v>25.263157894736842</v>
      </c>
      <c r="J70" s="3">
        <f t="shared" si="14"/>
        <v>32</v>
      </c>
      <c r="K70" s="3">
        <f t="shared" si="14"/>
        <v>40</v>
      </c>
      <c r="L70" s="3">
        <f t="shared" si="14"/>
        <v>45.714285714285708</v>
      </c>
      <c r="M70" s="3">
        <f t="shared" si="14"/>
        <v>48.695652173913039</v>
      </c>
      <c r="N70" s="3">
        <f t="shared" si="14"/>
        <v>50.526315789473685</v>
      </c>
      <c r="O70" s="3">
        <f t="shared" si="14"/>
        <v>51.612903225806448</v>
      </c>
      <c r="P70" s="2"/>
      <c r="Q70" s="2"/>
      <c r="R70" s="2"/>
    </row>
    <row r="71" spans="1:18"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3">
      <c r="A72" s="4" t="s">
        <v>32</v>
      </c>
      <c r="E72" s="3">
        <f>VLOOKUP($E$8,$B$65:$O$70,4)</f>
        <v>0</v>
      </c>
      <c r="F72" s="3">
        <f>VLOOKUP($E$8,$B$65:$O$70,5)</f>
        <v>22.677868380553633</v>
      </c>
      <c r="G72" s="3">
        <f>VLOOKUP($E$8,$B$65:$O$70,6)</f>
        <v>32.36159339823562</v>
      </c>
      <c r="H72" s="3">
        <f>VLOOKUP($E$8,$B$65:$O$70,7)</f>
        <v>49.923017660270624</v>
      </c>
      <c r="I72" s="3">
        <f>VLOOKUP($E$8,$B$65:$O$70,8)</f>
        <v>76.752257888019756</v>
      </c>
      <c r="J72" s="3">
        <f>VLOOKUP($E$8,$B$65:$O$70,9)</f>
        <v>102.8991510855053</v>
      </c>
      <c r="K72" s="3">
        <f>VLOOKUP($E$8,$B$65:$O$70,10)</f>
        <v>150</v>
      </c>
      <c r="L72" s="3">
        <f>VLOOKUP($E$8,$B$65:$O$70,11)</f>
        <v>215.5263624321299</v>
      </c>
      <c r="M72" s="3">
        <f>VLOOKUP($E$8,$B$65:$O$70,12)</f>
        <v>287.10608935035862</v>
      </c>
      <c r="N72" s="3">
        <f>VLOOKUP($E$8,$B$65:$O$70,13)</f>
        <v>377.38254121989058</v>
      </c>
      <c r="O72" s="3">
        <f>VLOOKUP($E$8,$B$65:$O$70,14)</f>
        <v>488.27307526269567</v>
      </c>
      <c r="P72" s="2"/>
      <c r="Q72" s="2"/>
      <c r="R72" s="2"/>
    </row>
    <row r="73" spans="1:18"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</sheetData>
  <printOptions headings="1" gridLines="1" gridLinesSet="0"/>
  <pageMargins left="0.75" right="0.75" top="1" bottom="1" header="0.5" footer="0.5"/>
  <pageSetup scale="69" fitToHeight="2" orientation="landscape" horizontalDpi="4294967292" verticalDpi="4294967292" r:id="rId1"/>
  <headerFooter alignWithMargins="0">
    <oddHeader>&amp;F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plume.xls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Lillywhite</dc:creator>
  <cp:lastModifiedBy>Jason Lillywhite</cp:lastModifiedBy>
  <cp:lastPrinted>2001-10-10T14:18:38Z</cp:lastPrinted>
  <dcterms:created xsi:type="dcterms:W3CDTF">2001-10-11T13:30:15Z</dcterms:created>
  <dcterms:modified xsi:type="dcterms:W3CDTF">2017-11-13T23:10:41Z</dcterms:modified>
</cp:coreProperties>
</file>