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C:\Users\jlillywhite\Desktop\Fracking Water Model Webinar\"/>
    </mc:Choice>
  </mc:AlternateContent>
  <bookViews>
    <workbookView xWindow="0" yWindow="0" windowWidth="17370" windowHeight="12780" tabRatio="601" firstSheet="1" activeTab="1"/>
  </bookViews>
  <sheets>
    <sheet name="CB_DATA_" sheetId="4" state="veryHidden" r:id="rId1"/>
    <sheet name="LCA Model" sheetId="1" r:id="rId2"/>
    <sheet name="Documentation" sheetId="5" r:id="rId3"/>
  </sheets>
  <definedNames>
    <definedName name="CB_02249897c01b4cd8a4aa69bd8f3aa3b2" localSheetId="1" hidden="1">'LCA Model'!#REF!</definedName>
    <definedName name="CB_08ce1d551efc44dd8b8e34404841fea4" localSheetId="1" hidden="1">'LCA Model'!$E$218</definedName>
    <definedName name="CB_0918b9fbe13543bf9642c44e19dc318e" localSheetId="1" hidden="1">'LCA Model'!$C$220</definedName>
    <definedName name="CB_1822b76f23354982a786d06933420801" localSheetId="1" hidden="1">'LCA Model'!$C$165</definedName>
    <definedName name="CB_19f1d9d980b94401a8a92197faf5f4d1" localSheetId="1" hidden="1">'LCA Model'!$C$209</definedName>
    <definedName name="CB_1ec911581e9c4ff9b7099670050cd437" localSheetId="1" hidden="1">'LCA Model'!$E$211</definedName>
    <definedName name="CB_21733c435ff94c2a99b9214d55dea10a" localSheetId="1" hidden="1">'LCA Model'!$E$46</definedName>
    <definedName name="CB_245ddb293951484182fe8b0628181c99" localSheetId="1" hidden="1">'LCA Model'!#REF!</definedName>
    <definedName name="CB_25c27982108d4393b8c3a8d59bc38300" localSheetId="1" hidden="1">'LCA Model'!#REF!</definedName>
    <definedName name="CB_295c927d57074a8abb56bd6c71bfbaaf" localSheetId="1" hidden="1">'LCA Model'!$E$214</definedName>
    <definedName name="CB_2ba8a9d667ea48379de78245f33cc2cb" localSheetId="1" hidden="1">'LCA Model'!$D$215</definedName>
    <definedName name="CB_2e69232f28a148b49395c961b70d79ae" localSheetId="1" hidden="1">'LCA Model'!$D$212</definedName>
    <definedName name="CB_3014be835be241f29d506edcfafd49cf" localSheetId="1" hidden="1">'LCA Model'!$D$214</definedName>
    <definedName name="CB_3f1283d26f904d828d86f9ee67fbd689" localSheetId="1" hidden="1">'LCA Model'!$C$75</definedName>
    <definedName name="CB_3fb49eed695c4d6db006ef29dbea6e9a" localSheetId="1" hidden="1">'LCA Model'!$C$117</definedName>
    <definedName name="CB_414847b031dc4444bd7bddcde8f7416e" localSheetId="1" hidden="1">'LCA Model'!$C$217</definedName>
    <definedName name="CB_41b2af7c9e3c4d118489050e15e3223c" localSheetId="1" hidden="1">'LCA Model'!$C$211</definedName>
    <definedName name="CB_435b76d822724dc5a3501d1ec480893c" localSheetId="1" hidden="1">'LCA Model'!$D$46</definedName>
    <definedName name="CB_4cc51a5e1c4644fb8e4890db1d0746cb" localSheetId="1" hidden="1">'LCA Model'!$C$123</definedName>
    <definedName name="CB_5660e77ec39a412baa84c1b71d8fd344" localSheetId="1" hidden="1">'LCA Model'!$C$22</definedName>
    <definedName name="CB_5cfe50c211084c82b17d66420695405d" localSheetId="1" hidden="1">'LCA Model'!$E$58</definedName>
    <definedName name="CB_5e5f1fc2e95741dfb553983209430424" localSheetId="1" hidden="1">'LCA Model'!$E$210</definedName>
    <definedName name="CB_5fba0deb1cd9474ea01bd54f0fec4b38" localSheetId="1" hidden="1">'LCA Model'!$D$65</definedName>
    <definedName name="CB_5fd6c8b4bd734b659d5d937408f38c54" localSheetId="1" hidden="1">'LCA Model'!$D$211</definedName>
    <definedName name="CB_61634eaab8024c12973d4577424fb65f" localSheetId="1" hidden="1">'LCA Model'!$E$219</definedName>
    <definedName name="CB_64818c8cb3c54c63ba16c0760cd0c703" localSheetId="1" hidden="1">'LCA Model'!$E$217</definedName>
    <definedName name="CB_659ed8712c1e425f8e8fd3a97582127d" localSheetId="1" hidden="1">'LCA Model'!$D$202</definedName>
    <definedName name="CB_68a4270253754301bf34e652e50cae89" localSheetId="1" hidden="1">'LCA Model'!$D$54</definedName>
    <definedName name="CB_69cc456d2d394476bc67ace4e8c9310f" localSheetId="1" hidden="1">'LCA Model'!$E$213</definedName>
    <definedName name="CB_6a1616dc89f246059da37fefeb4d69fd" localSheetId="1" hidden="1">'LCA Model'!$D$213</definedName>
    <definedName name="CB_6a4cb1f247a44a7b8b734186320c5728" localSheetId="1" hidden="1">'LCA Model'!$D$208</definedName>
    <definedName name="CB_6a8b4bde18b84d47b39a385710f3ce5d" localSheetId="1" hidden="1">'LCA Model'!$D$218</definedName>
    <definedName name="CB_6f6e6495dd134e44b31a7240a9f94984" localSheetId="1" hidden="1">'LCA Model'!$C$210</definedName>
    <definedName name="CB_74d40ea43a6b4987b1b7c5d2cd553d2d" localSheetId="1" hidden="1">'LCA Model'!$D$118</definedName>
    <definedName name="CB_78b65e0b35f341b5957ecfd3bfef19eb" localSheetId="1" hidden="1">'LCA Model'!$E$202</definedName>
    <definedName name="CB_7b305e749ba44065b0012acb0503eb6b" localSheetId="1" hidden="1">'LCA Model'!$C$126</definedName>
    <definedName name="CB_810051ed04c54a43933838c0781dca0a" localSheetId="1" hidden="1">'LCA Model'!$C$208</definedName>
    <definedName name="CB_81728aa1b99e400da1a57da0009a807c" localSheetId="1" hidden="1">'LCA Model'!$C$214</definedName>
    <definedName name="CB_88f4d8b52ad24974926a3e0a4a992e8c" localSheetId="1" hidden="1">'LCA Model'!$C$207</definedName>
    <definedName name="CB_89630b2854444341bb7cb02c0da91ce4" localSheetId="1" hidden="1">'LCA Model'!$E$208</definedName>
    <definedName name="CB_8a78eaafcb1d4e40a75cee628a0bf139" localSheetId="1" hidden="1">'LCA Model'!$J$27</definedName>
    <definedName name="CB_8f2c989f9e5f4c7eb0ebc77cde98eb5a" localSheetId="1" hidden="1">'LCA Model'!$C$212</definedName>
    <definedName name="CB_929467a897c34b2cbbb2cf90eeb488fb" localSheetId="1" hidden="1">'LCA Model'!$D$220</definedName>
    <definedName name="CB_a60334c141564980a0dd044970f658be" localSheetId="1" hidden="1">'LCA Model'!$D$210</definedName>
    <definedName name="CB_a6c81988b8fa4233bc0fd9fbe48a71be" localSheetId="1" hidden="1">'LCA Model'!$C$69</definedName>
    <definedName name="CB_a8924e429bcf49d3ae2ad506db4a4231" localSheetId="1" hidden="1">'LCA Model'!$D$58</definedName>
    <definedName name="CB_a916fd29e0414d4b9678aa1c113a0a6f" localSheetId="1" hidden="1">'LCA Model'!$M$72</definedName>
    <definedName name="CB_b0fc57b0af9b475d8a365e821cfcb8ef" localSheetId="1" hidden="1">'LCA Model'!$C$218</definedName>
    <definedName name="CB_b1a891d3d63d465d8390b2739b4debe7" localSheetId="1" hidden="1">'LCA Model'!$H$72</definedName>
    <definedName name="CB_b6c653e906fb4a4eb666b029dc4e51f1" localSheetId="1" hidden="1">'LCA Model'!$C$54</definedName>
    <definedName name="CB_b7988258930b4dceafac34ebf119fc39" localSheetId="1" hidden="1">'LCA Model'!$D$69</definedName>
    <definedName name="CB_b871edd7d41c4930abb852764b76b4fb" localSheetId="1" hidden="1">'LCA Model'!$E$69</definedName>
    <definedName name="CB_bdc4c12c5c1d43a5a885dc7b9f475267" localSheetId="1" hidden="1">'LCA Model'!$H$27</definedName>
    <definedName name="CB_Block_00000000000000000000000000000000" localSheetId="1" hidden="1">"'7.0.0.0"</definedName>
    <definedName name="CB_Block_00000000000000000000000000000001" localSheetId="0" hidden="1">"'635960667123298155"</definedName>
    <definedName name="CB_Block_00000000000000000000000000000001" localSheetId="1" hidden="1">"'635960667123766156"</definedName>
    <definedName name="CB_Block_00000000000000000000000000000003" localSheetId="1" hidden="1">"'11.1.2391.0"</definedName>
    <definedName name="CB_BlockExt_00000000000000000000000000000003" localSheetId="1" hidden="1">"'11.1.2.1.000"</definedName>
    <definedName name="CB_c126e76589b945d7b303cacbefbd56c8" localSheetId="1" hidden="1">'LCA Model'!#REF!</definedName>
    <definedName name="CB_c5d125ba5f784c2e9d37b8eb0138ffee" localSheetId="1" hidden="1">'LCA Model'!#REF!</definedName>
    <definedName name="CB_cee2a93c5e1d4928a0a9be0a3f9fd0c8" localSheetId="1" hidden="1">'LCA Model'!$D$209</definedName>
    <definedName name="CB_d1315ef569364bc4b10fca0b2a2a8ae4" localSheetId="1" hidden="1">'LCA Model'!$C$58</definedName>
    <definedName name="CB_d505db9e9de242ef915a33b737d23124" localSheetId="1" hidden="1">'LCA Model'!$D$207</definedName>
    <definedName name="CB_d5d1e5aeeccd4ba4b62312a322e2d494" localSheetId="1" hidden="1">'LCA Model'!$D$42</definedName>
    <definedName name="CB_d70069c464414a7faf7e8e9a6b3ca627" localSheetId="1" hidden="1">'LCA Model'!$D$217</definedName>
    <definedName name="CB_d7b6d15efc9d40bcb950e74675df9bd6" localSheetId="1" hidden="1">'LCA Model'!$M$27</definedName>
    <definedName name="CB_d84a8a727e284b5d968da8e00f783035" localSheetId="1" hidden="1">'LCA Model'!$C$213</definedName>
    <definedName name="CB_d9de208e41ab40adb4afadfdc2c6ca2b" localSheetId="1" hidden="1">'LCA Model'!$J$72</definedName>
    <definedName name="CB_dc59ce9e8c10405b9dacdf77ba26d5b4" localSheetId="1" hidden="1">'LCA Model'!$E$220</definedName>
    <definedName name="CB_dd672a35d9a7409085cb058d9e2af438" localSheetId="1" hidden="1">'LCA Model'!$J$48</definedName>
    <definedName name="CB_dd74ae2deb7545418ba05d411935ba05" localSheetId="1" hidden="1">'LCA Model'!$E$118</definedName>
    <definedName name="CB_de18e857a4804984bb08edfb0c7a2180" localSheetId="1" hidden="1">'LCA Model'!#REF!</definedName>
    <definedName name="CB_dedcd6bde65d432687006ab191a666e6" localSheetId="1" hidden="1">'LCA Model'!$M$48</definedName>
    <definedName name="CB_e0408d0387e34712aec6c6d149e72c73" localSheetId="1" hidden="1">'LCA Model'!$E$212</definedName>
    <definedName name="CB_e91b980460ee41279934edaa65f40f10" localSheetId="1" hidden="1">'LCA Model'!$E$54</definedName>
    <definedName name="CB_e9c00fc640c64c4a9a0db1ea65209f40" localSheetId="1" hidden="1">'LCA Model'!$E$207</definedName>
    <definedName name="CB_ea308099cf3e4d51b75e1bcd1679ac09" localSheetId="1" hidden="1">'LCA Model'!$E$209</definedName>
    <definedName name="CB_f2daa9ecd03b4270acefbd5972e17b8b" localSheetId="1" hidden="1">'LCA Model'!$C$65</definedName>
    <definedName name="CB_f3f54f5a1f034bc58fde2e5abcdbd1de" localSheetId="1" hidden="1">'LCA Model'!$C$215</definedName>
    <definedName name="CB_f8671d9b9cc840daa4115c4b8b418338" localSheetId="1" hidden="1">'LCA Model'!$E$215</definedName>
    <definedName name="CB_f94a2f201354450f9417684f821826ff" localSheetId="1" hidden="1">'LCA Model'!$H$48</definedName>
    <definedName name="CB_f984f3cac0f7462daec6154567e2989b" localSheetId="1" hidden="1">'LCA Model'!$C$23</definedName>
    <definedName name="CB_faf03f3e8ad2422db09181985610a91f" localSheetId="1" hidden="1">'LCA Model'!$E$65</definedName>
    <definedName name="CBCR_0894b8db56cc47d4b055f45205a95298" localSheetId="1" hidden="1">500*1.609</definedName>
    <definedName name="CBCR_0a8a78d301ca45c6adff5c83367e97d0" localSheetId="1" hidden="1">60*1.609</definedName>
    <definedName name="CBCR_0e43d88951c345438f8b362a76da6ee3" localSheetId="1" hidden="1">50*1.609</definedName>
    <definedName name="CBCR_0f561fe902814f9ca4123ca5c5690b75" localSheetId="1" hidden="1">0.7*1665.58</definedName>
    <definedName name="CBCR_11b6b47687ee4c18af4a2d8639f60534" localSheetId="1" hidden="1">120*1.609</definedName>
    <definedName name="CBCR_1855569cf80e41af9abb8ebcbfaa4d0e" localSheetId="1" hidden="1">0.7*1362.75</definedName>
    <definedName name="CBCR_1d400759f2814c7aaae03046fa253d21" localSheetId="1" hidden="1">0.65*1514.2</definedName>
    <definedName name="CBCR_2efee890aaea4c73b396e8e9d3f71f68" localSheetId="1" hidden="1">9*1.609</definedName>
    <definedName name="CBCR_49fc01afcec446abbd5144a71c5d1520" localSheetId="1" hidden="1">120*1.609</definedName>
    <definedName name="CBCR_53068df2fb7c4fbc8e9c06fac126dba2" localSheetId="1" hidden="1">5*1.609</definedName>
    <definedName name="CBCR_54c978ba189b4fbb974592b40992c6da" localSheetId="1" hidden="1">300000/264.172</definedName>
    <definedName name="CBCR_7583bafedc3c4616915470c6768f084b" localSheetId="1" hidden="1">45*1.609</definedName>
    <definedName name="CBCR_802b4f95034c4760b51fa488ec5fa02e" localSheetId="1" hidden="1">45*1.609</definedName>
    <definedName name="CBCR_85a2a84cc13b45d1a0d85ca6f8188b10" localSheetId="1" hidden="1">50*1.609</definedName>
    <definedName name="CBCR_8adc542bb66f4aeb93b342d8031b7ec7" localSheetId="1" hidden="1">500*1.609</definedName>
    <definedName name="CBCR_94788c392e6344998e0e8cddcacec0c9" localSheetId="1" hidden="1">45*1.609</definedName>
    <definedName name="CBCR_97092daa84ed40aba0f797540acde1fe" localSheetId="1" hidden="1">650*1.609</definedName>
    <definedName name="CBCR_97a98243cd3d4e61a4e0ca556ca2fbb2" localSheetId="1" hidden="1">0.7*1514.17</definedName>
    <definedName name="CBCR_9ffcacb149f7450a89359a4d77bea9a2" localSheetId="1" hidden="1">120*1.609</definedName>
    <definedName name="CBCR_a1d53f18e04d4b4f8281d55e055ad636" localSheetId="1" hidden="1">50*1.609</definedName>
    <definedName name="CBCR_a589a4d8a2e04cdd8c9969e917e990bc" localSheetId="1" hidden="1">650*1.609</definedName>
    <definedName name="CBCR_a5baf419ff0f4696a12f87942b381913" localSheetId="1" hidden="1">0.65*1892.7</definedName>
    <definedName name="CBCR_af1bf74f66574130a8d3fa1ac282c25c" localSheetId="1" hidden="1">650*1.609</definedName>
    <definedName name="CBCR_b2b2307088c748dfa46ce6f2a04df278" localSheetId="1" hidden="1">0.65*1135.6</definedName>
    <definedName name="CBCR_b7c61a82f93f4ad1bb6bfea17dc78069" localSheetId="1" hidden="1">60*1.609</definedName>
    <definedName name="CBCR_bb64588fc3e340e8a788936f58410e3f" localSheetId="1" hidden="1">4.56*10^-3</definedName>
    <definedName name="CBCR_c08bf43b18f44b6690069d53feedf93a" localSheetId="1" hidden="1">500*1.609</definedName>
    <definedName name="CBCR_cd94666174ad4e4caf306c0f386ee7ea" localSheetId="1" hidden="1">3*1.609</definedName>
    <definedName name="CBCR_d8a12a59f7ea41af8f44dcc5b6195dc0" localSheetId="1" hidden="1">500000/264.172</definedName>
    <definedName name="CBCR_eea8bb106794459eb922506f03b406e7" localSheetId="1" hidden="1">60*1.609</definedName>
    <definedName name="CBWorkbookPriority" localSheetId="0" hidden="1">-253573873</definedName>
    <definedName name="CBx_64f418e345da4faf9cf28bcefed2e572" localSheetId="0" hidden="1">"'LCA Model'!$A$1"</definedName>
    <definedName name="CBx_f19401b5dac94d46b5717c24d02392f9" localSheetId="0" hidden="1">"'CB_DATA_'!$A$1"</definedName>
    <definedName name="CBx_Sheet_Guid" localSheetId="0" hidden="1">"'f19401b5-dac9-4d46-b571-7c24d02392f9"</definedName>
    <definedName name="CBx_Sheet_Guid" localSheetId="1" hidden="1">"'64f418e3-45da-4faf-9cf2-8bcefed2e572"</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s>
  <calcPr calcId="171027" iterateDelta="1E-4"/>
</workbook>
</file>

<file path=xl/calcChain.xml><?xml version="1.0" encoding="utf-8"?>
<calcChain xmlns="http://schemas.openxmlformats.org/spreadsheetml/2006/main">
  <c r="C78" i="1" l="1"/>
  <c r="C119" i="1"/>
  <c r="C90" i="1" l="1"/>
  <c r="C91" i="1"/>
  <c r="C100" i="1" s="1"/>
  <c r="C72" i="1"/>
  <c r="C76" i="1"/>
  <c r="C73" i="1"/>
  <c r="F91" i="1"/>
  <c r="C104" i="1"/>
  <c r="C197" i="1" l="1"/>
  <c r="C165" i="1"/>
  <c r="C163" i="1"/>
  <c r="C139" i="1"/>
  <c r="C161" i="1"/>
  <c r="C160" i="1"/>
  <c r="C155" i="1"/>
  <c r="C154" i="1"/>
  <c r="C159" i="1" l="1"/>
  <c r="C158" i="1"/>
  <c r="D151" i="1"/>
  <c r="D146" i="1"/>
  <c r="C135" i="1"/>
  <c r="C133" i="1"/>
  <c r="C132" i="1"/>
  <c r="C131" i="1"/>
  <c r="C128" i="1"/>
  <c r="C125" i="1"/>
  <c r="C124" i="1"/>
  <c r="C122" i="1"/>
  <c r="C120" i="1"/>
  <c r="C55" i="1"/>
  <c r="C52" i="1"/>
  <c r="D47" i="1"/>
  <c r="D45" i="1"/>
  <c r="C107" i="1"/>
  <c r="C89" i="1" l="1"/>
  <c r="D77" i="1"/>
  <c r="D76" i="1"/>
  <c r="C80" i="1"/>
  <c r="C40" i="1" l="1"/>
  <c r="F32" i="1"/>
  <c r="C32" i="1"/>
  <c r="C16" i="1" l="1"/>
  <c r="C27" i="1"/>
  <c r="E72" i="1" l="1"/>
  <c r="E86" i="1" s="1"/>
  <c r="E80" i="1"/>
  <c r="E49" i="1" s="1"/>
  <c r="C203" i="1"/>
  <c r="E203" i="1" s="1"/>
  <c r="E204" i="1" s="1"/>
  <c r="J60" i="1" s="1"/>
  <c r="D222" i="1"/>
  <c r="E169" i="1"/>
  <c r="E192" i="1" s="1"/>
  <c r="E171" i="1"/>
  <c r="E88" i="1"/>
  <c r="E89" i="1" s="1"/>
  <c r="E78" i="1"/>
  <c r="E57" i="1"/>
  <c r="E59" i="1" s="1"/>
  <c r="E43" i="1"/>
  <c r="D223" i="1"/>
  <c r="D224" i="1"/>
  <c r="E90" i="1"/>
  <c r="E93" i="1"/>
  <c r="E95" i="1" s="1"/>
  <c r="E8" i="1"/>
  <c r="E101" i="1"/>
  <c r="E13" i="1"/>
  <c r="E112" i="1"/>
  <c r="E111" i="1"/>
  <c r="E103" i="1"/>
  <c r="E104" i="1"/>
  <c r="E107" i="1" s="1"/>
  <c r="E113" i="1"/>
  <c r="E16" i="1"/>
  <c r="E182" i="1"/>
  <c r="E178" i="1"/>
  <c r="E185" i="1" s="1"/>
  <c r="E183" i="1"/>
  <c r="E179" i="1"/>
  <c r="D13" i="1"/>
  <c r="E187" i="1" s="1"/>
  <c r="H68" i="1" s="1"/>
  <c r="E189" i="1"/>
  <c r="E196" i="1"/>
  <c r="E166" i="1"/>
  <c r="E197" i="1"/>
  <c r="E81" i="1"/>
  <c r="E87" i="1"/>
  <c r="E85" i="1"/>
  <c r="D216" i="1"/>
  <c r="E150" i="1"/>
  <c r="E153" i="1" s="1"/>
  <c r="E193" i="1"/>
  <c r="E194" i="1" s="1"/>
  <c r="E195" i="1" s="1"/>
  <c r="D72" i="1"/>
  <c r="D43" i="1"/>
  <c r="D90" i="1"/>
  <c r="D93" i="1"/>
  <c r="D95" i="1" s="1"/>
  <c r="D8" i="1"/>
  <c r="D101" i="1"/>
  <c r="D112" i="1"/>
  <c r="D111" i="1"/>
  <c r="D103" i="1"/>
  <c r="D104" i="1" s="1"/>
  <c r="D107" i="1" s="1"/>
  <c r="D113" i="1"/>
  <c r="D16" i="1"/>
  <c r="D182" i="1"/>
  <c r="D178" i="1"/>
  <c r="D184" i="1" s="1"/>
  <c r="D183" i="1"/>
  <c r="D179" i="1"/>
  <c r="D196" i="1"/>
  <c r="D197" i="1" s="1"/>
  <c r="D166" i="1"/>
  <c r="D85" i="1"/>
  <c r="D150" i="1"/>
  <c r="D171" i="1"/>
  <c r="C24" i="1"/>
  <c r="E222" i="1"/>
  <c r="L60" i="1"/>
  <c r="M60" i="1" s="1"/>
  <c r="E216" i="1"/>
  <c r="E184" i="1"/>
  <c r="L67" i="1" s="1"/>
  <c r="M67" i="1" s="1"/>
  <c r="C30" i="1"/>
  <c r="C28" i="1"/>
  <c r="C29" i="1"/>
  <c r="C31" i="1"/>
  <c r="C21" i="1"/>
  <c r="C34" i="1"/>
  <c r="C8" i="1"/>
  <c r="C81" i="1"/>
  <c r="C13" i="1"/>
  <c r="C43" i="1"/>
  <c r="C101" i="1"/>
  <c r="C112" i="1"/>
  <c r="C111" i="1"/>
  <c r="C103" i="1"/>
  <c r="C113" i="1"/>
  <c r="C130" i="1"/>
  <c r="C129" i="1"/>
  <c r="C138" i="1"/>
  <c r="C137" i="1"/>
  <c r="C196" i="1"/>
  <c r="C200" i="1"/>
  <c r="D226" i="1"/>
  <c r="D227" i="1"/>
  <c r="C227" i="1"/>
  <c r="C222" i="1"/>
  <c r="C223" i="1"/>
  <c r="C216" i="1"/>
  <c r="D169" i="1"/>
  <c r="C149" i="1"/>
  <c r="B11" i="4"/>
  <c r="A11" i="4"/>
  <c r="H69" i="1"/>
  <c r="E151" i="1"/>
  <c r="E152" i="1" s="1"/>
  <c r="H60" i="1"/>
  <c r="H67" i="1"/>
  <c r="D86" i="1" l="1"/>
  <c r="D88" i="1"/>
  <c r="D89" i="1" s="1"/>
  <c r="D78" i="1"/>
  <c r="D91" i="1"/>
  <c r="D80" i="1"/>
  <c r="E198" i="1"/>
  <c r="L66" i="1"/>
  <c r="M66" i="1" s="1"/>
  <c r="H66" i="1"/>
  <c r="C140" i="1"/>
  <c r="C49" i="1"/>
  <c r="C84" i="1"/>
  <c r="C85" i="1" s="1"/>
  <c r="C82" i="1"/>
  <c r="C86" i="1"/>
  <c r="C87" i="1" s="1"/>
  <c r="D198" i="1"/>
  <c r="D108" i="1"/>
  <c r="D109" i="1" s="1"/>
  <c r="D110" i="1" s="1"/>
  <c r="D114" i="1" s="1"/>
  <c r="J66" i="1"/>
  <c r="H59" i="1"/>
  <c r="D185" i="1"/>
  <c r="L70" i="1"/>
  <c r="M70" i="1" s="1"/>
  <c r="J70" i="1"/>
  <c r="H70" i="1"/>
  <c r="E191" i="1"/>
  <c r="J68" i="1"/>
  <c r="E190" i="1"/>
  <c r="L68" i="1" s="1"/>
  <c r="M68" i="1" s="1"/>
  <c r="L15" i="1"/>
  <c r="M15" i="1" s="1"/>
  <c r="C93" i="1"/>
  <c r="C95" i="1" s="1"/>
  <c r="C96" i="1" s="1"/>
  <c r="C134" i="1"/>
  <c r="C136" i="1" s="1"/>
  <c r="C35" i="1"/>
  <c r="C36" i="1" s="1"/>
  <c r="C141" i="1"/>
  <c r="E154" i="1"/>
  <c r="J64" i="1" s="1"/>
  <c r="E155" i="1"/>
  <c r="H64" i="1" s="1"/>
  <c r="C88" i="1"/>
  <c r="H8" i="1"/>
  <c r="D153" i="1"/>
  <c r="D152" i="1"/>
  <c r="C201" i="1"/>
  <c r="E200" i="1"/>
  <c r="E201" i="1" s="1"/>
  <c r="D96" i="1"/>
  <c r="D97" i="1" s="1"/>
  <c r="D98" i="1" s="1"/>
  <c r="D102" i="1" s="1"/>
  <c r="L59" i="1"/>
  <c r="M59" i="1" s="1"/>
  <c r="J67" i="1"/>
  <c r="E108" i="1"/>
  <c r="E109" i="1" s="1"/>
  <c r="E110" i="1" s="1"/>
  <c r="E114" i="1" s="1"/>
  <c r="E96" i="1"/>
  <c r="E97" i="1" s="1"/>
  <c r="E98" i="1" s="1"/>
  <c r="D200" i="1"/>
  <c r="D201" i="1" s="1"/>
  <c r="J59" i="1"/>
  <c r="E52" i="1"/>
  <c r="E53" i="1" s="1"/>
  <c r="E55" i="1" s="1"/>
  <c r="D203" i="1"/>
  <c r="D204" i="1" s="1"/>
  <c r="L45" i="1" s="1"/>
  <c r="M45" i="1" s="1"/>
  <c r="C204" i="1"/>
  <c r="J15" i="1" s="1"/>
  <c r="E73" i="1"/>
  <c r="E91" i="1"/>
  <c r="C39" i="1" l="1"/>
  <c r="C37" i="1"/>
  <c r="C38" i="1" s="1"/>
  <c r="D115" i="1"/>
  <c r="D62" i="1" s="1"/>
  <c r="D64" i="1" s="1"/>
  <c r="D66" i="1" s="1"/>
  <c r="D67" i="1" s="1"/>
  <c r="L40" i="1"/>
  <c r="M40" i="1" s="1"/>
  <c r="H40" i="1"/>
  <c r="J40" i="1"/>
  <c r="J20" i="1"/>
  <c r="H20" i="1"/>
  <c r="C53" i="1"/>
  <c r="C83" i="1"/>
  <c r="H15" i="1"/>
  <c r="D81" i="1"/>
  <c r="D49" i="1"/>
  <c r="E74" i="1"/>
  <c r="E76" i="1"/>
  <c r="J45" i="1"/>
  <c r="L24" i="1"/>
  <c r="M24" i="1" s="1"/>
  <c r="J24" i="1"/>
  <c r="H24" i="1"/>
  <c r="C198" i="1"/>
  <c r="C108" i="1"/>
  <c r="C109" i="1" s="1"/>
  <c r="C110" i="1" s="1"/>
  <c r="H44" i="1"/>
  <c r="L14" i="1"/>
  <c r="M14" i="1" s="1"/>
  <c r="H14" i="1"/>
  <c r="C57" i="1"/>
  <c r="C59" i="1" s="1"/>
  <c r="J14" i="1"/>
  <c r="D52" i="1"/>
  <c r="D53" i="1" s="1"/>
  <c r="D55" i="1" s="1"/>
  <c r="D87" i="1"/>
  <c r="H7" i="1"/>
  <c r="L7" i="1"/>
  <c r="M7" i="1" s="1"/>
  <c r="J6" i="1"/>
  <c r="H6" i="1"/>
  <c r="J8" i="1"/>
  <c r="H19" i="1"/>
  <c r="L6" i="1"/>
  <c r="M6" i="1" s="1"/>
  <c r="H45" i="1"/>
  <c r="L44" i="1"/>
  <c r="M44" i="1" s="1"/>
  <c r="C142" i="1"/>
  <c r="C162" i="1" s="1"/>
  <c r="L38" i="1"/>
  <c r="M38" i="1" s="1"/>
  <c r="J38" i="1"/>
  <c r="D57" i="1"/>
  <c r="D59" i="1" s="1"/>
  <c r="H38" i="1"/>
  <c r="H46" i="1"/>
  <c r="J46" i="1"/>
  <c r="E102" i="1"/>
  <c r="J7" i="1"/>
  <c r="D154" i="1"/>
  <c r="J42" i="1" s="1"/>
  <c r="D155" i="1"/>
  <c r="H42" i="1" s="1"/>
  <c r="J19" i="1"/>
  <c r="C97" i="1"/>
  <c r="C98" i="1" s="1"/>
  <c r="J44" i="1"/>
  <c r="D73" i="1"/>
  <c r="L8" i="1"/>
  <c r="M8" i="1" s="1"/>
  <c r="C99" i="1" l="1"/>
  <c r="C115" i="1" s="1"/>
  <c r="C102" i="1"/>
  <c r="C114" i="1"/>
  <c r="J37" i="1"/>
  <c r="L37" i="1"/>
  <c r="M37" i="1" s="1"/>
  <c r="H37" i="1"/>
  <c r="C33" i="1"/>
  <c r="L17" i="1"/>
  <c r="M17" i="1" s="1"/>
  <c r="C143" i="1"/>
  <c r="C144" i="1" s="1"/>
  <c r="E45" i="1"/>
  <c r="E47" i="1" s="1"/>
  <c r="E60" i="1" s="1"/>
  <c r="E61" i="1" s="1"/>
  <c r="J55" i="1"/>
  <c r="L35" i="1"/>
  <c r="M35" i="1" s="1"/>
  <c r="J35" i="1"/>
  <c r="H35" i="1"/>
  <c r="E146" i="1"/>
  <c r="E199" i="1" s="1"/>
  <c r="J71" i="1" s="1"/>
  <c r="E77" i="1"/>
  <c r="L13" i="1"/>
  <c r="M13" i="1" s="1"/>
  <c r="J13" i="1"/>
  <c r="H13" i="1"/>
  <c r="D74" i="1"/>
  <c r="J62" i="1"/>
  <c r="E115" i="1"/>
  <c r="E62" i="1" s="1"/>
  <c r="E64" i="1" s="1"/>
  <c r="E66" i="1" s="1"/>
  <c r="E67" i="1" s="1"/>
  <c r="L62" i="1"/>
  <c r="M62" i="1" s="1"/>
  <c r="H62" i="1"/>
  <c r="C60" i="1"/>
  <c r="C61" i="1" s="1"/>
  <c r="K70" i="1" l="1"/>
  <c r="D60" i="1"/>
  <c r="D61" i="1" s="1"/>
  <c r="J33" i="1"/>
  <c r="C164" i="1"/>
  <c r="L23" i="1"/>
  <c r="M23" i="1" s="1"/>
  <c r="J23" i="1"/>
  <c r="H23" i="1"/>
  <c r="D199" i="1"/>
  <c r="J47" i="1" s="1"/>
  <c r="J57" i="1"/>
  <c r="H57" i="1"/>
  <c r="L57" i="1"/>
  <c r="M57" i="1" s="1"/>
  <c r="L20" i="1"/>
  <c r="M20" i="1" s="1"/>
  <c r="C145" i="1"/>
  <c r="J10" i="1"/>
  <c r="L10" i="1"/>
  <c r="M10" i="1" s="1"/>
  <c r="H10" i="1"/>
  <c r="L25" i="1"/>
  <c r="M25" i="1" s="1"/>
  <c r="H25" i="1"/>
  <c r="J25" i="1"/>
  <c r="H55" i="1"/>
  <c r="L55" i="1"/>
  <c r="M55" i="1" s="1"/>
  <c r="L9" i="1"/>
  <c r="M9" i="1" s="1"/>
  <c r="J9" i="1"/>
  <c r="H9" i="1"/>
  <c r="C41" i="1"/>
  <c r="C127" i="1"/>
  <c r="L56" i="1"/>
  <c r="M56" i="1" s="1"/>
  <c r="J56" i="1"/>
  <c r="K56" i="1" s="1"/>
  <c r="H56" i="1"/>
  <c r="L16" i="1"/>
  <c r="M16" i="1" s="1"/>
  <c r="H16" i="1"/>
  <c r="J16" i="1"/>
  <c r="H72" i="1" l="1"/>
  <c r="I55" i="1"/>
  <c r="J72" i="1"/>
  <c r="K66" i="1"/>
  <c r="K64" i="1"/>
  <c r="C62" i="1"/>
  <c r="C64" i="1" s="1"/>
  <c r="C66" i="1" s="1"/>
  <c r="C67" i="1" s="1"/>
  <c r="M72" i="1"/>
  <c r="L26" i="1"/>
  <c r="M26" i="1" s="1"/>
  <c r="H26" i="1"/>
  <c r="J26" i="1"/>
  <c r="J34" i="1"/>
  <c r="K34" i="1" s="1"/>
  <c r="L34" i="1"/>
  <c r="M34" i="1" s="1"/>
  <c r="H34" i="1"/>
  <c r="K67" i="1"/>
  <c r="K68" i="1"/>
  <c r="K60" i="1"/>
  <c r="K62" i="1"/>
  <c r="K55" i="1"/>
  <c r="I57" i="1"/>
  <c r="H33" i="1"/>
  <c r="L33" i="1"/>
  <c r="M33" i="1" s="1"/>
  <c r="I56" i="1"/>
  <c r="L21" i="1"/>
  <c r="M21" i="1" s="1"/>
  <c r="H21" i="1"/>
  <c r="J21" i="1"/>
  <c r="K57" i="1"/>
  <c r="K33" i="1"/>
  <c r="K59" i="1"/>
  <c r="K71" i="1"/>
  <c r="N67" i="1" l="1"/>
  <c r="N60" i="1"/>
  <c r="N68" i="1"/>
  <c r="N70" i="1"/>
  <c r="N59" i="1"/>
  <c r="N66" i="1"/>
  <c r="N62" i="1"/>
  <c r="K35" i="1"/>
  <c r="K44" i="1"/>
  <c r="J48" i="1"/>
  <c r="M48" i="1"/>
  <c r="N33" i="1" s="1"/>
  <c r="N55" i="1"/>
  <c r="N57" i="1"/>
  <c r="N56" i="1"/>
  <c r="K38" i="1"/>
  <c r="K40" i="1"/>
  <c r="H48" i="1"/>
  <c r="I33" i="1" s="1"/>
  <c r="H11" i="1"/>
  <c r="J11" i="1"/>
  <c r="L11" i="1"/>
  <c r="M11" i="1" s="1"/>
  <c r="I69" i="1"/>
  <c r="I60" i="1"/>
  <c r="I68" i="1"/>
  <c r="I67" i="1"/>
  <c r="I66" i="1"/>
  <c r="I70" i="1"/>
  <c r="I59" i="1"/>
  <c r="I64" i="1"/>
  <c r="I62" i="1"/>
  <c r="K42" i="1"/>
  <c r="K46" i="1"/>
  <c r="N34" i="1"/>
  <c r="K37" i="1"/>
  <c r="K45" i="1"/>
  <c r="K47" i="1"/>
  <c r="M27" i="1" l="1"/>
  <c r="I34" i="1"/>
  <c r="J27" i="1"/>
  <c r="K11" i="1" s="1"/>
  <c r="H27" i="1"/>
  <c r="N45" i="1"/>
  <c r="N40" i="1"/>
  <c r="N38" i="1"/>
  <c r="N44" i="1"/>
  <c r="N37" i="1"/>
  <c r="N35" i="1"/>
  <c r="I46" i="1"/>
  <c r="I44" i="1"/>
  <c r="I40" i="1"/>
  <c r="I45" i="1"/>
  <c r="I42" i="1"/>
  <c r="I38" i="1"/>
  <c r="I35" i="1"/>
  <c r="I37" i="1"/>
  <c r="I8" i="1" l="1"/>
  <c r="I6" i="1"/>
  <c r="I20" i="1"/>
  <c r="I24" i="1"/>
  <c r="I7" i="1"/>
  <c r="I14" i="1"/>
  <c r="I19" i="1"/>
  <c r="I15" i="1"/>
  <c r="I13" i="1"/>
  <c r="I25" i="1"/>
  <c r="I23" i="1"/>
  <c r="I10" i="1"/>
  <c r="I9" i="1"/>
  <c r="I16" i="1"/>
  <c r="I21" i="1"/>
  <c r="I26" i="1"/>
  <c r="N15" i="1"/>
  <c r="N24" i="1"/>
  <c r="N14" i="1"/>
  <c r="N7" i="1"/>
  <c r="N6" i="1"/>
  <c r="N8" i="1"/>
  <c r="N13" i="1"/>
  <c r="N17" i="1"/>
  <c r="N10" i="1"/>
  <c r="N9" i="1"/>
  <c r="N16" i="1"/>
  <c r="N20" i="1"/>
  <c r="N23" i="1"/>
  <c r="N25" i="1"/>
  <c r="N21" i="1"/>
  <c r="N26" i="1"/>
  <c r="I11" i="1"/>
  <c r="K15" i="1"/>
  <c r="K6" i="1"/>
  <c r="K20" i="1"/>
  <c r="K19" i="1"/>
  <c r="K24" i="1"/>
  <c r="K8" i="1"/>
  <c r="K7" i="1"/>
  <c r="K14" i="1"/>
  <c r="K13" i="1"/>
  <c r="K23" i="1"/>
  <c r="K10" i="1"/>
  <c r="K25" i="1"/>
  <c r="K16" i="1"/>
  <c r="K9" i="1"/>
  <c r="K21" i="1"/>
  <c r="K26" i="1"/>
  <c r="N11" i="1"/>
</calcChain>
</file>

<file path=xl/comments1.xml><?xml version="1.0" encoding="utf-8"?>
<comments xmlns="http://schemas.openxmlformats.org/spreadsheetml/2006/main">
  <authors>
    <author>Student</author>
    <author>Menefee, Anne</author>
  </authors>
  <commentList>
    <comment ref="A19" authorId="0" shapeId="0">
      <text>
        <r>
          <rPr>
            <b/>
            <sz val="9"/>
            <color indexed="81"/>
            <rFont val="Tahoma"/>
            <family val="2"/>
          </rPr>
          <t>AHM:</t>
        </r>
        <r>
          <rPr>
            <sz val="9"/>
            <color indexed="81"/>
            <rFont val="Tahoma"/>
            <family val="2"/>
          </rPr>
          <t xml:space="preserve">
For use in recompression energy, optimal CO2 case, where some entrained CH4 is transported along with CO2</t>
        </r>
      </text>
    </comment>
    <comment ref="C110" authorId="0" shapeId="0">
      <text>
        <r>
          <rPr>
            <b/>
            <sz val="9"/>
            <color indexed="81"/>
            <rFont val="Tahoma"/>
            <family val="2"/>
          </rPr>
          <t>Student:</t>
        </r>
        <r>
          <rPr>
            <sz val="9"/>
            <color indexed="81"/>
            <rFont val="Tahoma"/>
            <family val="2"/>
          </rPr>
          <t xml:space="preserve">
Note: 0.35 reduction factor applied to account for friction reduction achieved with slickwater</t>
        </r>
      </text>
    </comment>
    <comment ref="A170" authorId="1" shapeId="0">
      <text>
        <r>
          <rPr>
            <b/>
            <sz val="9"/>
            <color indexed="81"/>
            <rFont val="Tahoma"/>
            <family val="2"/>
          </rPr>
          <t>Menefee, Anne:
This is CH4 present in CO2 stream between stages (i.e. separation not 100% efficient, and this residual CH4 will be compressed along with removed CO2)</t>
        </r>
      </text>
    </comment>
  </commentList>
</comments>
</file>

<file path=xl/sharedStrings.xml><?xml version="1.0" encoding="utf-8"?>
<sst xmlns="http://schemas.openxmlformats.org/spreadsheetml/2006/main" count="797" uniqueCount="345">
  <si>
    <t>Inputs</t>
  </si>
  <si>
    <t>Units</t>
  </si>
  <si>
    <t>m</t>
  </si>
  <si>
    <t>Pipeline length, source to impoundment</t>
  </si>
  <si>
    <t>km</t>
  </si>
  <si>
    <t>Pipeline weight</t>
  </si>
  <si>
    <t>Impoundment capacity</t>
  </si>
  <si>
    <t>Impoundment excavation</t>
  </si>
  <si>
    <t>Impoundment surface area</t>
  </si>
  <si>
    <t>Impoundment depth</t>
  </si>
  <si>
    <t xml:space="preserve"> --</t>
  </si>
  <si>
    <t>kg</t>
  </si>
  <si>
    <t>Fluid trucking distance</t>
  </si>
  <si>
    <t>Diesel to wellpad distance</t>
  </si>
  <si>
    <t>Diesel truck capacity</t>
  </si>
  <si>
    <t>m3</t>
  </si>
  <si>
    <t>Fuel economy, heavy-duty highway truck</t>
  </si>
  <si>
    <t>Base fluid tanker truck capacity</t>
  </si>
  <si>
    <t>Acid tanker truck capacity</t>
  </si>
  <si>
    <t>Number of acid trucks per well</t>
  </si>
  <si>
    <t>HDPE chemical tote capacity (liquid)</t>
  </si>
  <si>
    <r>
      <t>m</t>
    </r>
    <r>
      <rPr>
        <vertAlign val="superscript"/>
        <sz val="10"/>
        <color theme="1"/>
        <rFont val="Calibri"/>
        <family val="2"/>
        <scheme val="minor"/>
      </rPr>
      <t>3</t>
    </r>
  </si>
  <si>
    <r>
      <t>m</t>
    </r>
    <r>
      <rPr>
        <vertAlign val="superscript"/>
        <sz val="10"/>
        <color theme="1"/>
        <rFont val="Calibri"/>
        <family val="2"/>
        <scheme val="minor"/>
      </rPr>
      <t>2</t>
    </r>
  </si>
  <si>
    <t>Transportation and Storage</t>
  </si>
  <si>
    <t>Pipeline diameter for overland transport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</si>
  <si>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</si>
  <si>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</si>
  <si>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</si>
  <si>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</si>
  <si>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</si>
  <si>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</si>
  <si>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</si>
  <si>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</si>
  <si>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</si>
  <si>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</si>
  <si>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</si>
  <si>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</si>
  <si>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f19401b5-dac9-4d46-b571-7c24d02392f9</t>
  </si>
  <si>
    <t>CB_Block_0</t>
  </si>
  <si>
    <t>Decisioneering:7.0.0.0</t>
  </si>
  <si>
    <t>64f418e3-45da-4faf-9cf2-8bcefed2e572</t>
  </si>
  <si>
    <t>CB_Block_7.0.0.0:1</t>
  </si>
  <si>
    <t>㜸〱敤㕣㕤㙣ㅣ搷㜵摥㍢攴㉥㜷㤶愴㐸㑢戲㘵㌹㡥捤挴㜱晣㐳㤵ㄶ㘵慢戶搲㉡っ㝦㐴㐹〹㈵搲㈲㈵搹戵㔳㙡戸㍢㈳㡥戴㌳㉢捦捣㔲愲攳搶捥㕦㤳戴㑤ㅡㄸ㈸㔲㈷㉥㙣㈷㑦〱㤲〲㝤㠸㙢愳㐹㡢愲㉤搲ㄶづ搰㠷昴愱㘸ㅦ摣愰㘸ㅦㅡㄴ㉡晡㤲㠷〰改昷㥤㍢戳㍢扢搴づ改戵摤搲〵挷摥挳㍢攷摥㍢㜳敦㍤扦昷㥣㍢捡愹㕣㉥昷ぢ㕣晣换慢㤷㠵摢ㄷ搷挳挸昶挶愶㙢搵慡㕤㡥摣㥡ㅦ㡥㑤〶㠱戵㍥攷㠶㔱てㅡㄴ㤶㕤搴㠷昹攵搰㝤摡㉥㉥慦搹㐱㠸㐶昹㕣慥㔸㌴つ搴昳㈱晣つ㈷㌷㈶㝢つ昴〲㉣㑤㑦捤慦㕣挲㔳ㄷ愳㕡㘰ㅦㄸ㌹愷晢ㅥㅤㅦㅦㅢㅦ㍢昴攰㤱昱戱㠳〷㐶愶敢搵愸ㅥ搸㐷㝤扢ㅥ〵㔶昵挰挸㐲㝤愵敡㤶㍦㘱慦㉦搵㉥摢晥㔱㝢攵攰㠳㉢搶㐳㡦㡣㍦㜴昸戰㜳攴挸㈳〳㜸㜵敥昴昴搴㐲㘰㍢攱㍢昴捣㍣㠷晣搰㡣㕤㜶㌹㌷摢づ㕣晦攲搸昴ㄴ晥㑦㡤ㅦ㜷て㡦㉤慥摡㜶挴㔷摢㠱敤㤷敤搰㐴挷㝥㙦㌲っ敢摥ㄵ㉥㥥改捤㘲慡㘵㉢㡣昲摥戴㕤慤㥡㕥昲搴愲㌷㡦戵慢㕡敢〳摥愲敤㠷㙥攴慥戹搱㝡挱㕢挲㠳㉡㠳摥搹搰㍥㘳昹ㄷ敤搳㤶㘷攷扤攳㜵户搲慢慦㕣捦㍤挹㈳搲〳㤳改㡦㑤㠶摥昴慡ㄵ挸㠸㐲㉥㑣㐶摢搹愰摣摡昶慥捥捦攵搰攵つ㝣收摤㥤摢愱收㥣ㄵ㌴㕡㡥㜶㙥ㄹ㑦扥㜵〴て㜴㙥㥦㕡愳搶㍥昷㜵敥㈳㑢搹摡㕡昵挷晣㉤㉢㡡挹㤸〵㠲㍥㠲㈲〱〹㘸㤶〸晡〹〶〰㔴敦㝦㐳㑡搲ㅤ㔹㘵㉣㕢挶昲㡡戱㕣㌶㤶㉢挶戲㙤㉣㍢挶昲㐵㘳㜹搵㔸㜶㡤攵㑢挶昲㘵戴㐹慥㘲㕦㥦ㄱ㕦㍦㔸晤散挸㑦晦改挲晣ㄷ晦㌶敦ㄸ㤷㕦昸慦㠱㕤㘸昴㘸㍣愸㤹挰扡ち㔶㙢㜲昱愱戱㠳晣㙦㜳愹㠰㔰㌸㠷㥤㠷㥤昱昱捡攱㠳搶㠳㔶㥥搳捡㈰㝥ぢ愳っ愳敤㠰㜳摥昵㉢戵慢㐲扢摢愷慣搰㙥㉥摣㘸㕣㌷㔵慢晢㤵昰㝤㌷慥㕣㡣慣挸扥慤扤慥昹㤰つ摤ㄶ㈱㔶㜶㈸敦扢愳扤摢㌹慢㕡户㈷慦戹扡晡晤㙤搵摥㐲㔰㕢改㕣㍢ㅢ搸㑦㌵㙡㌷㡣㘸ㄲ㑡㙤㑤㥥扤㘱㤶扡㑡㡦㙢㘴㝡戵ㄶ摡扥っ㙦搴㕢㜰换㤷敤㘰搱愶㑡戴㉢㌲搵㥢㔹ㄵ㑢晤攸扣㡦㠹㐲㕡㉢ㅦ㑣㘳㥤㘳搷㈲〸戳㕤挱㜸慦搸㐱戴扥㘴慤㔴敤㕢㕡㥡攸㜷愲㘲㝦ぢ㝡戶㔶慥㠷搳㌵㍦ち㙡搵搶㥡挹捡㥡〵㑤㔳㌹㔵慢搸扤扤㌹㔱ち㔰戸㍤㍤㑡攵敥敦㉣ぢ㐲㠸ㄴ㠹㈹挸户戶戲摤搸ㄹ捣づ戳愸摡攴㐹攳㐳㥢㍣㡣攳ㄵㅤ㤳㈱㠱愹㌹搱㝥昰愵昷㙥昲搸〶攵摥摤挶㠶戱㈷㥥晤戱㌵摢㡦㑥㔸㝥愵㙡〷㤹搶㑦㜱㐴收㄰㐰晥㍡ㄴ㐲挷搵愳愹㔳搷搴㝡晥慡㕢㠹㔶ぢ慢戶㝢㜱㌵〲づㄶ戲㔸攴搲㙥戸捣㥢㠰㌲㜷ㄳ散〱㈸㤵㜲㠵扤㙣㔴㈸攱捡攵愹㥤㌲㘴戹㐵㤱戳㕦㡢㉣て㌸戳㙥㌵戲戵㔲ㅥ㜲㐰ㄱ㙤搵㠴㝣㠳㘴搱挰㉡㙢㠳戱搷㤹〶㤷㕡慥ㅦ慤㌷攵㜶㠳㤴㘸㈶摡搱〵摢㑥ㄷ㔰ㄵ戴敡㠳っ㔹〳搳戴㘹㠳散挶㈹㈶愲ㄸ㘴㔸㜶㍣戹㤵挹搸㍥㐳㐷愰㝤㥡〹搹晡㘰㘷ㅤ㐱㘶摦挸愴散搴㔱ㅥ㜷戴搹㡤㝣㜹慤捤㙥挶挲㤹户㄰散㈳戸㤵㘰㍦㠰晡㌷㘸㌸㙡㌹㤴㕢㉦昳㝤戸㌷㙦㈷㜸㍦〰昴㤳㐹㥤ㄳ慢㉡晡㔰㕢昱㈳搹㙥㄰㝥戲㌸挵㕡ㄵ搱㌳㙥昸㤹㠳㥥㄰㍡昶㍡户㠷慤敤ㄵㅢ晢攱捥扣㤹㥥づ㌹㌲愳㘹㝡慥㥢㌴㑤㉦〴㥢㜶㘹户敥㐴㔷㜳㠴攰〳〰㈵昳㠳㠴㌰㉥㜴㜸户收搱搳愵㝣㑦戸㐵摡ㄹ敡搲挰挷㡣捣㉤㐰㠶㤲摢戰㝤搹昱愱改づ㡥㍡敦㜹ㅦ晡㐰㘷昹㡥㠹摥㘶㌷㜷散づ攳㐵㙦搱㡢扥ぢ攲愵晥戹愳㡤戹ㅢ搵收㠷〹敥〱㘸戳㌱摣㝤扦搵㐸㠱戸挵㕥㡡㜲扢ㄹ㜵ㄱ㉦㜷㘹晤㡡㉤ㄶ㘸挰㔹戲㠲㡢㜶㠴〸挶挹ㄹ昸挲戵㈰戰慢搸搴㔶〴挱晤换扥㔶㘴㌸ㅢ搴㍣攲㜷㝣攴昰㍤㘱ㄸ㝡㝢㡤㥥㕣㥢㡦㥣攱㙢愶㘲㑥㈹捥愱つ㝥戰戳㤲㐸㜵㙡㘵㉦昶换摥㕦敥㘸㤲㉥㌴挹㝤㔸㔶昳㝥〰㘸〹昵てㅤ㌵捡〱㌶晢㈵㘹搶敡戱㌲挲㤷戱㍢㘹㡢㈱㙥搰㈳晤㍡㘰㍢㠵昸㐱㌸攸㉤扡㕥㐳㔹昴㝢ぢ㜶㔰㐶㙣挱慤摡㈵ㅤ㤶愵慡搹搱ㄵ敦ㄱ㕤搱搳戳㘱㍦㥤ㄱ㕦ㄳ㍥㘹搳ㄲ㤹搲㥥㔹㤹戱ㄷ㙦㌲ㄵ挳㤰㔴㉡ㄹ愱愱㠶〶㈲攷戱敤㡥㡡改㐲挵㍣㠰㠵㌳てㄲ㡣ㄳㅣ〲挸晦〸㥡㘶慢ぢ捦㜴㔸摦ㅡ㐳摡换换戹㈲挹㈰㈱挲㌷㍡㉡慢挳㝣捤㉦ㄳ㍣っ搰收晥㌰〰㤹挱㠸㐲昲ㄴ㈳㑡ㅡ挳㌹攷摡㔷挹〳扢ㅣ㈴㤶愶敢㘱㔴昳㤸㔹ㅡ㜴㘶㙡愷㙢搱㡣ㅢ㕥㐱㈶㙡㡦ㄳㄷ捥慦摡㍥戸㉢㠰敦搳㠶慢㕤戹㘲㔷㑣㘷戱㔶㠷㙡㍢㌹戳ㅤ㌶收㔸づ昸㤲戲㌷㌷ㄴ慥敥昶挷㜸㠴挲㑡㑢扣㤵搱搸㉤㐵扦戹改ㅢ㙡慥攸㤲ㅢ㔵敤㝥㐷ぢㅤ换㐵〷慢㠸捣㐱愵捦㔹㕡つ㙣㝢㘶搰㌹ㅥ戸㤵慡敢摢㈴〶㝣㑣㈶敢收散㡢挸ㄲ㉣搴㤸〳慣昹㠳捥㔲㘰昹攱ㄵ㡢〹挵昵摤㉤㜷㤲ㄶ挹㍢㔳慥ㅦ攲㌵㐲㐵㤶㠷㥣挵搵摡㔵㘴㙣敢㥥㝦摣扡ㄲ㙥ぢ慡㤰改昵㈵愴㔱㠶㌲っ㔵㌴㡡摤搲㠷ㅢ昲㕣㡥戲搷㑢㈰戴捡攵ㄹ㌳捦戰摥昴敢攳ㅣつ晤㜴㡥㘹〰搹愳〶戲㈷㔳ぢ㔳㔲捤㈳散昳ㄱ㠰㡦ㅦ㍦㝢戲㤹㤹㝢㕢㌹敢㍣愳晣ㄹ㍡㕥搸愲㤱〸㘱㡣㙥㤷㘶ㄵ攲挸㌹㤰㐰㔰㥣㜷敤散㔷㜲愴つ戹㙦㔷戳㌸㡢㑣搲㠰㌳㘷慤搸㔵攴愳㍤㉢摡愵㙦攸挶㝡㔶㌵㡣敢愶㙢㥥㘷㤱戵挸㤶㡢㘵㡢ㅣ㍣㔹㡦㙡愷㕣摦㜴〰㠴晦㘲㤴㜵つ㈸敢㥡愰〶㥣㌳㑣つ㑡㤹捦慡㕤戴〲㌷㕡昵摣㜲㤱㌷㑣摦㙤ぢ㥥㠴㤰㔳昳㈶㔷愲㌳㐶摡扣昹戳㜰搹挲㌱㤰㝢っ㝡㤴㑢㐷昲㠳㜳つ㔵挰㝦慡换挰ㄲㄴ㡣㐴㑡捤㕦挵搳昲㜲㍡〲㉡㐷慥敢挹ㄹ㡣敢捦〲愳㤵㄰愹㥥挱㈲㠸ち愶㤴㍣㐳摣〵攷慣敦㐶愰ㅥ㈹㌶敢㐶㌳㈱㐸づ㠰愲㙣㙦㙦ㄳ慡愶㍡㡤㌶慣挲㥤ㅢ慢㕡捣挴ㅤㅢ敢搳㜶攳㐳㌷愸搶ㄶ㈵㘵㐸㌶㙢㈴㤶攵〶㘳摣㑥愶㐶㠹攱㑥慣㡤捡ち㥢㌶搷㥤㕡攴㙤ㄸ㈶攱㤹㥣昹㔱㘱ㄴ㈴㝡㘳ㅢ挵㤸㝤㌶㝢愴㌲㌶昴〱㑡戴㔳ㅡ㌷ㄸ愷〴㑦攲搸㐹挵㉥挵㜷㤰敦㕤㜱㜱扥ㅥ戵搴㔸搷昶挴㌵㤳搵敡扣て㉦愱㙣〵㤵㙤㈲搲㤸㥢戶㌰㈲㥤摤㕡㝦扤扣㈹㐱㡣挵㤰㘹㤱㡣㌸㌰挴㄰挲㤵捡愸搲㍢ㅢ攴㔲㌷搰㐵摥㥤戲㉤㕦㈸戰ㄸ㔵㘶散㌵㜱挳㥡㥥晣ㅥ改搰搸㉤㡡ㅥ㌵㥤挹㤵㄰㈶㍤愲ㅥ㡦㑢㈲攰愶㜳㠶㘱㈹ㅣ㘲㠰摡㡤㑢ぢ攵〸愹摤挶〳戸㌳搸㍥搴挱㡡攸搴〹扤㌳㙡搰㐲〶攳戶㑥㠲戲搳㈵㐵愱㐸ㅤ戹晥㜳㐲㝤晤〵㕥摦㥥挸㈵㠵㔸㠸㤸敥捡昰ㅥ㐰摣㜴㘶㤲㔲戴㈷㐹㤸㙢捤㈶㑡㙢㈰挱搱挵ㄸ愴换ㄷ㐴㌸挵挳㕣搶㄰挵愶㡡㜳㙥㤱ぢ㙢㕡㕤摦攵㥣昴换搵㝡挵ㄶ㔳㥣攸㙡戱挸摢㠲㕥㜲〴㔰㑢㔳挶扡挴㡢㜲ㄲ㕢㈹㑥㤹㐴敡摥敦㌶㈷搰㕤㤴ㅣ㥥愱㑤ㅦㄳ㤰ㄹ㘱㌹㐹㠸㙤㌸愷㐰晦㜰㜷昳〰㠳ㅣ㥥㠳㑡摢㠰愲㉥㥢挳㜹扣㐶ㄶ㔹愴㉤搵㙣慥㌶㔷愳捦㥥㐲㥤㜰㌵㙡㕢搰〸昳搴ち慦㔰㠰㌳搲愵㜴昰㈱戹敢㜱㜶昷晡戳㜲㥢扢づ㔲〸〵ㄴ㜳扣摣〵攵戰慡㄰㈴㍡摣㐶搳敢㔶捣晥搲昳㌶㈷〱ㄴ搳挰㜴㘸搱㔲㍢㌸搳㈸㙦敥攰摣㠹㔶ㄹㄹ搲㜴㌲㤵㌹捡㍤〸搸㠳㘸㤰㈶㙥愴㤷㙡㌰㐲搱㕥㌹ㄸ㤶㥣㑤ㅣ昵戰〵慡〵户戴㈱ㄷ慣〸挷㕦晣晤㙤攸挹㑡㠵敥㉥攲㜳摢㠲慡㌸扡愱摤搱扤㙤㠷戲㘴㑥昴敦敥㙡慢㠸てぢㅥ㥡ㄹ㍢㘱㐵攵搵挵㘸㕤ㅦ摣敡㤲㈵㔴晥晢㠸㐷摣昰敤昴㤹㝢㝤ㅥ㐴㕤攳摡㤷㉥晢戵慢扥㡣㉢ㅦ昲搴ㅦ㌸〴㐷㈸晢㌸挸㔲敥ㄷ昸㑦㉥㈳㤷晦㔳㍣㜱㉢挳收〳㥡〱ㄲ㍥㐷慥㤲㌹㡢扦㑣㔲㡦攰㙦〶慦挰㝦㙦㥣ㅣ㈰慦散㙤攳ㄵ㔱〶㍢捣攲㕦㝣愷㤸㈵愷㕥〷㘹挹㌰㈰㜸㜲㐸挴挸愹搷㜰㐳愲㠳〶㈰㥣㜹㤲㄰攴晢〰晥㘶㤰㑦ㄴ㝡㝣搴㠳〷㐳晥晦㔰㉡㤱敡ㅢ㡡搵晦㠶㔰扦ち㘲〸㤹㐰㤳㠶㕣慡敦戵㤲㘹㑥㤳㐹昱㐸㠸挸昲㈹ㄴ㤲㉢捦㔴敤㕢㑡㡡㜳㕥㍢㥢搱㜷晤昰敦晦攱㘶㜴㍥㘶づ昱搷㤰㜶扢ㅢ昷つ㜷愱㘷㠳扢挰㐴扥戸ぢぢ㈸㈸㘶昴戵扢㄰挷㐳捥〰戱戹扢挰㍣㕦㠶㔳㤸㑡扢愶㐲ㅣ摣㡤摤攲㌱㔶㜶〲㠷㜰敤㄰戹㝤ㄸ戰㜰ㅡ搱愹㝤ㅢ搱ぢ㔶㘰㜹晢〵㝦㍣戰㘱搸㠲㈵㥣敡㤶㉥散㜱摢つ㙢愴搳つ攲ㄶ㐹挴㝤㈷戶戲戵戳散愰㤴扥㜴㈸㕦ㄵ㔵攱㙤㐴㑤ㄴ昷㄰戹㑦敤晤愳攳晦昲昴攷㈶㜸㜲㉤收搵㍣㔳挵摤愴敦改㔷㈰挱㥢㍡㌴㜲㌳㍦搲㌹㠵捦㤵摣㉢㔵㝢捡ち挴㈳ち㑤㉦㈹㙡挶㑢㌱愶㘶扥敤攰㙥攲っ㠴㜶㌷挷摡㐲㥦昲㤱㤳㠴ぢ挷㔲〳㤷昸㕥㤲㐲㔴ㅤ㡤㔹㤷㥥㘷晥扢㌰㐷㙦㜱㈰慤ㅥ㈳㜷愰扣㤴晡㑥㘲敦㌴㈲㤷㍢っ㡢愶户㤵㡡㐷〰ㄲ㉤㠵㕣〴㌹㈴扤愹攱攱〰搱㔲㘷㔱挸㍦〰㤰㤱㘵㙢㑦昷㌲㌶戰愳〴散挶〱挰㉥㍦㘸挱㉡㠲㡡㐹㕣扥摢摤㉤㐳〱㠹㘹㘲摡㔶㝣㥡㜳㈸挸㐶㠶㠸昱〴㝢ㅥ㠵攴捡ㅦ㐲㘹换愱㈹扥㘴搰搳㐹㌸㉤搸㜹㡦㜱户㤲㜷捣慦攳ㄴ〸散㑣㐱っ㠶扦㥢㘸㙣㑥㈵㕦愷㥢㤶㌴㡡㜰㐸ㄷㅢ㥤晡攳㉡搸㉣㝦㍦㜶愸㐸〴昲慢㈱搶㡦㌶ㅦ㝤㜳㝢つ㙤㥣摦㠷〹昲〷晦敢㡥っ挱挶㕢㈹㌱搰戰㕢㙡㔵搴㐷挵ㅦ㐳ㄷ㑥㍡愷捣㘶㔱敥ㄵ昳搵㠹㘴昵ㄸㅢ散㍦㌳搹㈲㔹㡦戳㌷㔳摡㉤昶晦〹㈰㌶戵晦敡〸晢攲㘷㍥ㄹㄷ㜸㤳㘷㉥㘵搳昴つ㔷〴㔱㙥㈴㜲㘴㤳㙣㑡㤱改㙦㕤㕡挴㠷慣扡㕡㌴㌸㘲㘰扤敤挷㈴ㅡ㝤改摢昶㜷㔴㠰捣ㄳ攵扦〵ㄵ搴戱㝦慢摥㑡㜶扡㠵㕦㐷挷扤愷摣㜲㔰ぢ㙢㑥㌴戲㠸〴昰〸扦㐳㜳攰昳㑣慡㔷摡㤵摡㕤㔸㠹㠱ぢ攸㜳㝡ㅥち晢戴ㅤ扤㔳㜹㐹㘶ㄹ戶㤶搵攰㌷㐹挳愹㔴ㄳ慤㐳㜸㤳昳㘸摤慡攲㌳搶㜹挴㍤㈳愲戶㠵戱搳搱攷昶搳ㅡ㕣㍡㥣搷晡〴㘲㐳㜶㜵っ㠹㌲㤹挲ㄳ㥦攴扡戶慦㐱㙢摢㜸㙥㈱㕢㜶ㄷ㝦㉢攵㕦〲㑤户昶㤶㔶㤶攱㍢昹㜵㜲挹㕣㈱挴收㝡〲㝦户ㅥ慣攵搳昶㠰捦攳㡦扢ㄹㄴㅢ慤㈲㤴戶㠵㑣㜸ㄹ㕤搵㈴〱㝥㘶㈵㉥昰㐶㌱攲㐷㔱㔴摦挰戴㈸〰㈸㘳て〸搰㤹慢㕦㐰㌳ㅤ㐱㘰㘳㕣攴㙡㌵㡢㠲㍣㝦ㄵ〵晡㙤晣㈹〶ㄲ〴敢愶戱摣户ち昶㔲ち㍢㥣㙣㕥ㄵ㜷㈹㘴攸㤲晡㝤扣敡㈵晣昴挲㔵㠹挳慥㐵㜶㈳㈸㥢㐹て㤴㜳㡡扢ㄱ㤹捡昳攸搰㤸㑡つ搸捥㔳昹㉡㥡㙥㥣ち晤〸ㄹ㕥晡昹挳㠹ㅤ㌲〳㔴㥢㈱㐱㐴㔰〷ㄸ㑥捣搱㄰㌵㉣搵㔶㐱㘷㉣㕥㈷㤱㜱晤㝤晣昷捤㠹ㅦ扤挱敢愷ㄳ㑡㜴㉡慡㕡㘷㐱㥤㉡戳昸㔲㝡ㄶ搷㠰敤㍣㡢㉦摣㘸ㄶ挳㑦愲て㐷㘲㍥つ㌰搸愳挸㜶㌲慢㑦愱挰〵攵㑦㤵ㄳ㙣换㕣挹㈳搲昷㌷㔰ㄸ散ㄹ㈶㑤ㄹ攰㌱㝦㤳攰㔹㠲攷〸㍥㑤昰ㄹ㠲捦〲っㅡ挳㈴戳㌴晣ㅣ㤱㥦㈷昸㉤㠲㉦㄰㝣㤱攰㑢〰㘸㐸捡㑢挳摦㈶昲㜷〸㝥㤷攰换〴㕦㈱昸㍤㠰㐱㐳㤱攸㌲散慦愲㤰っ㍢㑦ㅡ㘴㝣慥㈴㕥ㅥ㡦㜶昲ㄵ〵ㅤ㕥㉥㘸摢㕥昴攲戸昲戶搰㜰㤸ㄲ扦晦敤㘸㤸ち㕤㥥㔹㔰戵㠴㈷㑥㥣㠸愳㝡㌹㈳捥愲㠱㈷㜵戲㠰㍣捣㠵㔴㝥搲昸㡦㕦㙤〶㥢㔰㠱ぢ㡣慢ㅢ㤳搷愵戱㤷㌴㍥㠴敦捣愴つ㥥慣慦㌷㤳挶㤴〹㘹㕣㑤ㅡ晦挷愱晤㡤挶㠹〸攸㈷攷挹㥦ㄹㅥ扢散㘱㔲摦㥣て愱㜹摥愱ㄷ搰敦㘸㌴昵扦㈴挳慢攲〷っ攰㜸㑢㠰慦扥攷㜰㕡ぢ㠷㕡㘰㉡昴㍦晥㜰ㄲ愷戸㘶慣挸挲㐷摤㙢㐸㥦〷愶摣戱㜳挱㤹て㠰攸㜳㑥㠶搸ㄹ㔶戶ㄵ㡢挰愹改搵敢扢㐹㥡㈱挳〱㙥慥㐷㤲昶㌳㜸㉡愶㍢ㄳ㈸愹愲㕥㜵㈹愱㙣敥戹㈶捦㤸㕦〳㜱愰愱〱㔹㌰晦〰㔰愷㤶㜸晥㍡㌷㑣搵㈳㝡攵敢慣昸〶挱㡢〰㈵㐵㍤㐳㍥㈸晣㈱挰㔰昲㑦㙦㡣慣㐹搴挷㔰㉢挹换搲㙣㘴扥挴づ㉦〳昴㈰㄰慤㘲㈶㉣㤹慦〰㤳㝡㘹㥥㍡敢㔷㍡㝢搵摣㌴㈷晦ㅣ〰ㄲ愴㉤摦晤ㅦ挳㜷晣敢㝣㜰て晥ㄹ㤳扣㙣〱㝡㡤㡦㜴昷㉣㌲ㅡ扤㜷昹㝤ㄲㄳ㝡ㅢ捦攱〲㌷昳㉥㝣㈲㌵㘳㐹㔱㌳㜳扡敡㐹㍣㥦敦愰㜳㕦㔲捦㈵攸㈷㘲㌴て愱㤴搴愷ㄳ昴慦挵攸㝤㠲晥㑣㠲㝥㍣㐶摦㉢㘸㙡㜸㜹昶㘳㌱晡㍥㐱㔳搱ぢ晡㝣㡣搶㈳昹㝣㠲㍥ㄷ愳昵㐸㘸っ愴昵搹ㄸ慤㐷㐲昳㈰攸愵ㄸ慤㐷㐲㠳㈱攸挵ㄸ慤㐷㐲ㄳ㈲攸㌳㌱㕡㡦㠴㤶㐴搰㡦挶㘸㍤ㄲ摡ㄶ㐱㉦挴㘸㍤ㄲ㕡ㅢ㐱捦挷㘸㍤ㄲ摡ㅦ㐱㥦㡥搱㝡㈴戴㐸㠲㍥ㄵ愳昵㐸㘸愳〴㍤ㄷ愳㘵㈴挳㌴㔵挲收摦㐳挱㝣㤵攰㑦〰㑡昹慦〱㙥㔹㑥㐹攴㉥㍤扥搷搰㔵㔱昸昸っ昳昵戸挰ㅢ㐵挹㤳㈱捦挶㐳愶户㔱㌴ち㡡搲㈸ㄵ挷攲㡡愳㔲愱ㄴ㈵㔴㉡㘶攲㡡〹㈰捣ㅦ〰㈸㑡㈰攷㘴晥ㄹ敦㕥㈱攰摤㥦挷〵㜹㈱搷㐰扡㝦慣敤㠵㕣ㄷ愹㤸㘸㝢㈱搷㑡㉡㍥㥡㝥攱㕦昲愱㌲㌱ㄴ㕡㥣愶㘱㑥㔰搶晢慦㔱ㄸ散ㄹ攲搸捥攳㘷㕣㔳攵ぢ㤵ぢㄷ㝥㌶搴㍢㜲㕢敦㘳ㅦㅢ㜸攱捤扦晢挹昳㍦㝥昲攸扦晦晣挵ㄷ㝦晣慦捦扦昱昳敦慦ㅣ晤攱㌷扦昹㔷ㅦ㝦改㡤㥦散㜶㕥㌶㕥晤搹摣换捦㡣㕦㝥收㈹攷散晤挷㥦㜹晣搲愳攳ぢ㌷㡤昶昴昴昵摤戳攷㙦㙥扤㜷昸戹愷㕥㔳㝦昱㡦晢㝣㈵搳挵ぢ㕡㠷挱㘹换㌰㝥㠸〲㠶挱ㄱ扦慢挳攰㜴㘵愱ㅥ㠹ㄷ㙡ち㠸㈲㥣㜱づ㐰㉡ㅥ㙥慤攸晦ㅦ〳ち㔸㙢</t>
  </si>
  <si>
    <t>Water</t>
  </si>
  <si>
    <t>NA</t>
  </si>
  <si>
    <t>kg/m3</t>
  </si>
  <si>
    <t xml:space="preserve">    Acid (HCl)</t>
  </si>
  <si>
    <t xml:space="preserve">    Friction reducer (polyacrylamide)</t>
  </si>
  <si>
    <t xml:space="preserve">    Biocide (glutaraldehyde)</t>
  </si>
  <si>
    <t xml:space="preserve">    Corrosion inhibitor (methanol)</t>
  </si>
  <si>
    <t xml:space="preserve">    Scale inhibitor (phosphanate)</t>
  </si>
  <si>
    <t>Percent reused water in fluid</t>
  </si>
  <si>
    <t>%</t>
  </si>
  <si>
    <t>Number of fluid trucks per well</t>
  </si>
  <si>
    <t>Number of diesel trucks per site</t>
  </si>
  <si>
    <t>Chemical trucking distance</t>
  </si>
  <si>
    <t>Proppant trucking distance</t>
  </si>
  <si>
    <t>Flowback to recycling</t>
  </si>
  <si>
    <t>Water truck capacity</t>
  </si>
  <si>
    <t>Number of trucks for recycled flowback</t>
  </si>
  <si>
    <t>Number of trucks for CWT</t>
  </si>
  <si>
    <t>Flowback to CWT facility</t>
  </si>
  <si>
    <t>Transport distance from last well to CWT</t>
  </si>
  <si>
    <t>v*km</t>
  </si>
  <si>
    <t>Production</t>
  </si>
  <si>
    <t>Produced water volume per well</t>
  </si>
  <si>
    <t># trucks, produced water</t>
  </si>
  <si>
    <t>Total vehicle-km, produced water to CWT</t>
  </si>
  <si>
    <t>MJ</t>
  </si>
  <si>
    <t>Production increase, CO2 frack</t>
  </si>
  <si>
    <t>m3/s</t>
  </si>
  <si>
    <t>Pipeline flow rate, source to storage</t>
  </si>
  <si>
    <t>Process</t>
  </si>
  <si>
    <t>Energy</t>
  </si>
  <si>
    <t>GHG</t>
  </si>
  <si>
    <t>Unit</t>
  </si>
  <si>
    <t>HCl</t>
  </si>
  <si>
    <t>Polyacrylamide</t>
  </si>
  <si>
    <t>Glutaraldehyde</t>
  </si>
  <si>
    <t>Methanol</t>
  </si>
  <si>
    <t>Phosphanate</t>
  </si>
  <si>
    <t>Sand</t>
  </si>
  <si>
    <t>Excavation</t>
  </si>
  <si>
    <t>Liner</t>
  </si>
  <si>
    <t>Flaring</t>
  </si>
  <si>
    <t>EcoInvent factors</t>
  </si>
  <si>
    <t>CB_Block_7.0.0.0:2</t>
  </si>
  <si>
    <t>PVC production</t>
  </si>
  <si>
    <t>PVC pipe extrusion</t>
  </si>
  <si>
    <t>Impoundment construction</t>
  </si>
  <si>
    <t>Pipeline, upstream production</t>
  </si>
  <si>
    <t>Pipeline velocity, source to storage</t>
  </si>
  <si>
    <t>m/s</t>
  </si>
  <si>
    <t>Depth of vertical well</t>
  </si>
  <si>
    <t>Pipeline friction loss, source to impoundment</t>
  </si>
  <si>
    <t>Pipeline friction loss, impoundment to storage</t>
  </si>
  <si>
    <t>Pa</t>
  </si>
  <si>
    <t>Pumping Parameters &amp; Fluid Properties</t>
  </si>
  <si>
    <t>s</t>
  </si>
  <si>
    <t>Impoundment liner, production</t>
  </si>
  <si>
    <t>Chemical production</t>
  </si>
  <si>
    <t>Proppant production</t>
  </si>
  <si>
    <t>Trucking fluids, additives to site</t>
  </si>
  <si>
    <t>Trucking diesel to site</t>
  </si>
  <si>
    <t>Diesel for trucking fluid, additives</t>
  </si>
  <si>
    <t>m3 diesel</t>
  </si>
  <si>
    <t>vehicle-km</t>
  </si>
  <si>
    <t>Diesel for pumping water to site</t>
  </si>
  <si>
    <t>Injection velocity</t>
  </si>
  <si>
    <t>Flowback</t>
  </si>
  <si>
    <t>Diesel for flowback trucks</t>
  </si>
  <si>
    <t>km/m3</t>
  </si>
  <si>
    <t>Trucking flowback</t>
  </si>
  <si>
    <t>Trucking produced water</t>
  </si>
  <si>
    <t>Diesel for generator, entire frac job</t>
  </si>
  <si>
    <t>Pumping energy, source to impoundment</t>
  </si>
  <si>
    <t>Pumping energy, impoundment to storage</t>
  </si>
  <si>
    <t>Pa*s</t>
  </si>
  <si>
    <t>Dynamic fluid viscosity, bottomhole</t>
  </si>
  <si>
    <t>Dynamic fluid viscosity, surface</t>
  </si>
  <si>
    <t>Absolute roughness, PVC pipe</t>
  </si>
  <si>
    <t>Absolute roughness, iron pipe (injection)</t>
  </si>
  <si>
    <t>Reynold's number, source to storage flow</t>
  </si>
  <si>
    <t>Efficiency, centrifugal pump</t>
  </si>
  <si>
    <t>Efficiency, positive displacement pump</t>
  </si>
  <si>
    <t>v-km</t>
  </si>
  <si>
    <t>Vehicle-km traveled, proppant</t>
  </si>
  <si>
    <t>Vehicle-km traveled, chemical trucks</t>
  </si>
  <si>
    <t>Vehicle-km traveled, fluid trucks</t>
  </si>
  <si>
    <t>Total vehicle-km per wellhead, fluid &amp; additives</t>
  </si>
  <si>
    <t>Pipe length between equipment on wellpad</t>
  </si>
  <si>
    <t>Time- pumping fluid through each pump, blender</t>
  </si>
  <si>
    <t>Pumping energy, blender to high-P pump</t>
  </si>
  <si>
    <t>Pumping energy, high-pressure pump (injection)</t>
  </si>
  <si>
    <t>Flow rate for blender through injection</t>
  </si>
  <si>
    <t>Vertical pipe diameter, downhole injection</t>
  </si>
  <si>
    <t>Velocity, through blenders and pre-injection pumps</t>
  </si>
  <si>
    <t>Pipe diameter, to blenders and pre-injection pumps</t>
  </si>
  <si>
    <t>Friction factor, 6" PVC, thru blender, pre-inj pumps</t>
  </si>
  <si>
    <r>
      <t>Empirical constant</t>
    </r>
    <r>
      <rPr>
        <i/>
        <sz val="10"/>
        <color theme="1"/>
        <rFont val="Calibri"/>
        <family val="2"/>
        <scheme val="minor"/>
      </rPr>
      <t xml:space="preserve"> s</t>
    </r>
    <r>
      <rPr>
        <sz val="10"/>
        <color theme="1"/>
        <rFont val="Calibri"/>
        <family val="2"/>
        <scheme val="minor"/>
      </rPr>
      <t>, 6" PVC, thru blender, pre-inj pumps</t>
    </r>
  </si>
  <si>
    <t>Reynold's number, 4.788" iron, injection</t>
  </si>
  <si>
    <r>
      <t>Empirical constant</t>
    </r>
    <r>
      <rPr>
        <i/>
        <sz val="10"/>
        <color theme="1"/>
        <rFont val="Calibri"/>
        <family val="2"/>
        <scheme val="minor"/>
      </rPr>
      <t xml:space="preserve"> s</t>
    </r>
    <r>
      <rPr>
        <sz val="10"/>
        <color theme="1"/>
        <rFont val="Calibri"/>
        <family val="2"/>
        <scheme val="minor"/>
      </rPr>
      <t>, 4.778" iron, injection</t>
    </r>
  </si>
  <si>
    <t>Friction factor, 4.778" iron, injection</t>
  </si>
  <si>
    <t>Pipeline friction loss, injection</t>
  </si>
  <si>
    <t>Vehicle-km, flowback water (recycle + CWT)</t>
  </si>
  <si>
    <t>Pipeline diameter, flowback storage to impoundment</t>
  </si>
  <si>
    <t>Flow rate, flowback storage to impoundment</t>
  </si>
  <si>
    <t>Velocity, flowback storage to impoundment</t>
  </si>
  <si>
    <t>Reynold's number, 2" PVC, flowback storage to impoundment</t>
  </si>
  <si>
    <t>Friction factor, 2" PVC, flowback storage to impoundment</t>
  </si>
  <si>
    <t>Friction constant s, 2" PVC, flowback storage to impoundment</t>
  </si>
  <si>
    <t>Friction loss, flowback storage to impoundment</t>
  </si>
  <si>
    <t>Pumping energy, flowback to impoundment</t>
  </si>
  <si>
    <t>Diesel use, flowback pumps</t>
  </si>
  <si>
    <t>Pumping, source to storage</t>
  </si>
  <si>
    <t>Total vehicle-km travelled, diesel</t>
  </si>
  <si>
    <t>Blending energy</t>
  </si>
  <si>
    <t>Treatment, produced water &amp; 10% FB</t>
  </si>
  <si>
    <t>Total wastewater to CWT, production &amp; flowback</t>
  </si>
  <si>
    <t>Wastewater treatment</t>
  </si>
  <si>
    <t>MJ/GJ</t>
  </si>
  <si>
    <t>kg CO2 eq/GJ</t>
  </si>
  <si>
    <t>1 kg</t>
  </si>
  <si>
    <t>1 m3</t>
  </si>
  <si>
    <t>1 MJ</t>
  </si>
  <si>
    <t>d</t>
  </si>
  <si>
    <t>MJ/tCO2</t>
  </si>
  <si>
    <t>Blending</t>
  </si>
  <si>
    <t>% LC</t>
  </si>
  <si>
    <t>CB_Block_7.0.0.0:3</t>
  </si>
  <si>
    <t>Total fluid volume per stage</t>
  </si>
  <si>
    <t>m3/d</t>
  </si>
  <si>
    <t>GJ</t>
  </si>
  <si>
    <t>Efficiency, electric motor</t>
  </si>
  <si>
    <t>Energy content, diesel (HHV)</t>
  </si>
  <si>
    <t>Impoundment side length (assume as square)</t>
  </si>
  <si>
    <t>Liner thickness (double synthetic liner)</t>
  </si>
  <si>
    <t>Friction reduction, slickwater</t>
  </si>
  <si>
    <t>--</t>
  </si>
  <si>
    <t>Efficiency, diesel to electric generation</t>
  </si>
  <si>
    <t>Pipeline length, impoundment to storage</t>
  </si>
  <si>
    <t>Number of chemical totes per truck</t>
  </si>
  <si>
    <t>Number of chemical totes required per well</t>
  </si>
  <si>
    <t>MJ/m3</t>
  </si>
  <si>
    <t>Dehydrator</t>
  </si>
  <si>
    <t>Reynold's number, thru blenders, pre-injection pumps</t>
  </si>
  <si>
    <t>Pipeline friction loss bt pre-injection blenders, pumps</t>
  </si>
  <si>
    <t>Fracture pressure</t>
  </si>
  <si>
    <t>Hydrostatic pressure</t>
  </si>
  <si>
    <t>Inlet pressure to injection pump</t>
  </si>
  <si>
    <t>Diesel for pumps &amp; blenders used in fracking</t>
  </si>
  <si>
    <t>Flowback time (flaring)</t>
  </si>
  <si>
    <t>Volume of gas (CH4) vented, incomplete combustion</t>
  </si>
  <si>
    <t>Well lifetime</t>
  </si>
  <si>
    <t>yrs</t>
  </si>
  <si>
    <t>Diesel (at regional storage)</t>
  </si>
  <si>
    <t>Density, diesel</t>
  </si>
  <si>
    <t>MJ/kg</t>
  </si>
  <si>
    <r>
      <t>Empirical constant</t>
    </r>
    <r>
      <rPr>
        <i/>
        <sz val="10"/>
        <color theme="1"/>
        <rFont val="Calibri"/>
        <family val="2"/>
        <scheme val="minor"/>
      </rPr>
      <t xml:space="preserve"> s</t>
    </r>
    <r>
      <rPr>
        <sz val="10"/>
        <color theme="1"/>
        <rFont val="Calibri"/>
        <family val="2"/>
        <scheme val="minor"/>
      </rPr>
      <t>, 8" PVC, source to storage</t>
    </r>
  </si>
  <si>
    <t>Friction factor, 8" PVC pipes, source to storage</t>
  </si>
  <si>
    <t>Diesel use, dehydrator</t>
  </si>
  <si>
    <t>Number of chemical tote trucks per well</t>
  </si>
  <si>
    <t>Diesel use for trucking diesel</t>
  </si>
  <si>
    <t>Proppant dump truck capacity</t>
  </si>
  <si>
    <t>t</t>
  </si>
  <si>
    <t>Number of dump trucks (proppant)</t>
  </si>
  <si>
    <t>Pumping energy, storage tanks to blender</t>
  </si>
  <si>
    <t>Fluid pressurization post-blending (prep for hi P pump)</t>
  </si>
  <si>
    <t xml:space="preserve">Length of lateral </t>
  </si>
  <si>
    <t>Blending (chemicals &amp; proppant)</t>
  </si>
  <si>
    <t>Average gas flow, separation phase (CO2)</t>
  </si>
  <si>
    <t>Time, separation phase (CO2)</t>
  </si>
  <si>
    <t>m3 gas</t>
  </si>
  <si>
    <t>CH4 density, standard meas. conditions (60 F, 1 atm)</t>
  </si>
  <si>
    <t>EUR per well, volume</t>
  </si>
  <si>
    <t>EUR per well, total mass CH4 produced</t>
  </si>
  <si>
    <t>Other impact factors</t>
  </si>
  <si>
    <t>Trucking additives to site</t>
  </si>
  <si>
    <t>CO2 density (flowback), surface conditions (25 C, 1 atm)</t>
  </si>
  <si>
    <t>Life cycle impact (SEE DISTRIBUTION)</t>
  </si>
  <si>
    <t>㜸〱敤㕣㙢㤰ㅣ搷㔵敥摢扢㌳㍢㍤晢戴㈴㑢㤶愲搸ㅢ㍢㝥挴慢慣戵戲ㄵ㕢㑡ㄴ㜹ㅦ㝡搹㤲㜶愵㕤搹づ㈱慣㝡㘷扡戵㘳捤昴挸摤扤㉢㙤㘲戰〱攷〱攴㐱っ㠹㜱㉡㤴㘳ㄷ〶㥣ㄴ㔰㉥㈸㐳㈸晥㔰㐵ㄵㄴ挸㐰ㄵづㄴ挵㑢㌱㄰愸㑡〸㠲㐰㔵㝥愴捡㝣摦戹摤㌳㍤戳㍢慤搵挸㠶㌵戵㉤昵㤹摢攷㥥㝢晢㍥捥㍤攷摣㜳㙥慦愱っ挳㜸〳ㄷ㝦㜹㜵㌲戱㝤㝡㈹〸㥤捡昰㜸戵㕣㜶ち㘱愹敡〵挳愳扥㙦㉦ㅤ㉤〵㘱〷〸戲戳㈵攴〷㤹搹愰昴㔱㈷㌷扢攸昸〱㠸㌲㠶㤱换㔹㈶昲㔹〹敦㠱昸挱㘲愹㥥㑥㠰㤹昱戱挹戹㐷㔱敢㜴㔸昵㥤ㅤ㠳て改戲晢㐶㐶㠶㐷㠶㜷摤扤㘷㘴㜸攷㡥挱昱㠵㜲戸攰㍢晢㍣㘷㈱昴敤昲㡥挱愹㠵戹㜲愹昰愰戳㌴㔳㍤敢㜸晢㥣戹㥤㜷捦搹昷摣㌷㜲捦敥摤敥㥥㍤昷昵攰搵挶昱昱戱㈹摦㜱㠳㌷愹捥っ㥢㝣捦㠴㔳㈸戱㙦㡥攳㤷扣㌳挳攳㘳昸㥦㘸㍦㥥敥ㅤ㥥㥥㜷㥣㤰慦㜶㝣挷㉢㌸㠱㠵㠲摤㤵搱㈰㔸愸㥣攳攰㔹㤵㠳攸㙡挱づ挲㑣㘵摣㈹㤷慤㑡㕣㙢慥㌲㠹戱㉢摢㑢㍤㤵㘹挷ぢ㑡㘱㘹戱ㄴ㉥㘵㉢㌳愸愸搸㕢㌹ㄵ㌸㈷㙤敦㡣㜳摣慥㌸㤹捡愱㠵㔲戱㔳㕦㐶挷敤㜱ㄵ挹㠶㐹昷㠷㐷㠳捡昸扣敤㑢㡢〲づ㑣ち敤㐱扦搰㐸㝢㑢敢㝡搹㜴㜹〳敢扣戵㌵ㅤ㜲ㅥ戲晤ㅡ攵㔰㙢捡愸昳㡤㉤戸慢㌵㝤㘲㡣ㅡ换扣愷㜵ㄹㄹ捡㐶㙡搵ㅤ昱户㡣㈸㍡㘳㘵〹扡〸㜲〴㥣㐰㉢㑦搰㑤搰〳愰㍡扦㠷㔵㤲㉣挸㉣㜳搶㌶㘷攷捣搹㠲㌹㕢㌴㘷ㅤ㜳搶㌵㘷捦㤸戳昳收㙣挹㥣㝤搴㥣㍤ぢ㥡昸捡㜵㜵㤹搱昵慢㤵㙦晤搷㝦捦㑣摣晦摣摥敤㉦㝥㜲攷ㅢ㑦昴昴㠱攸㐴搴愸〹摦㍥て㔶慢㜳昱慥攱㥤晣㜷攵㔵㠱㐵攱敥㜶敦㜵㐷㐶㡡扢㜷摡㜷摢ㄹ㜶㉢㘵昲ㅢㄸ㘵〰戴㍤敥挳㈵慦㔸㍤㉦㜳户㝤捣づ㥣晡挰つ㐵㜹㘳搵〵慦ㄸ扣㘳攵捣改搰づ㥤㙤捤㜹昵㑡㤶ㄵ㥢挶戲㜲〲㜹摦㡤捤挵ㅥ戲换ぢ捥攸㠵㤲捥㝥㘷㔳㜶㘵捡慦捥戵捥㍤攸㍢㡦搵㜲㤷戵㘸ㄴ㐲㙤㔱敡㕥搶㑢㥤愵摢㌵㌸㍥㕦つㅣ㑦㥡㌷㔴㤹㉡ㄵ捥㍡晥戴㐳㤱攸ㄴ愵慢搷㌳㉢㕡昵㐳㤳ㅥ㍡㡡搵㕡扣㌹㠹㜵て㕣〸戱㤸㥤㈲摡㝢捥昱挳愵ㄹ㝢慥散㙣㙥㈰搱敦㐴挶搶〶昴挱㙡㘱㈱ㄸ慦㝡愱㕦㉤㌷收㡣ㄶㄷ㙤㐸㥡攲戱㙡搱改散㌴㐴㈸㐰攰㜶㜴㈸㘵摣搹㝡㉤挸㐴㈴愶㤸ぢ昹㠶㐶戶ㅢ㍥㠹摥愱ㄷ㘵㠷㍣㘹扥晢ち㤵戱扤㈲㘳㔲㔶㘰愲㑦搴ㅦ㝣改ㅤ㔷愸戶㌶㜳㙦㉤戱㘹㙥㡣㝡㝦㘰搱昱挲挳戶㔷㉣㍢㝥慡昶㔳㙣㤱搵て㤰戹っ㠱搰㜲昴愸敡搴〵戵㤴㌹㕦㉡㠶昳搹㜹愷㜴㘶㍥〴づㅡ㌲㤷攳搰㉥扢慣敢㠰戲㌶㄰㙣〴挸攷㡤散㈶ㄲ㘵昳戸㡣っ愵㔳捡㕡㙥㄰攴㉣搷戰㤶㝢摣㠳愵㜲攸㘸愱摣敦㘲㐶戴㔶㤳改敢㈵㡢晡㜶㐱㉢㡣㑤敥㌸戸搴㉥㜹攱㔲㝤摤㉥㕢㈵㥡㠹搶㘵挱㥡㤳〵ㄴ〵㡤昲㈰㘵慤㠱㘹㥡愴㐱㍡㜱㠲㠹戸っ㔲㌴㍢㙡㙥㘴㌲搲愷挸〸搰㈷㤹㤰搴㍢㕢换〸㌲晢㜲㈶㘵愱㤶敢㜱㕤㥡慤㘴换㙢㘹㜶㍤〶捥摡㑣戰㠵攰〶㠲慤〰敡㕢㤰㜰㤴㜲㐸㌷㕥搶㍢昰㙣㙤㈷㜸㈷〰攴㤳㐵㤹ㄳ㠹㉡摡㔰慢戱㈳㐹搷ぢ㍢㔹㡣㘲㉤㡡㘸ㄹ搷散捣摥㡡㑣㜴㘴㜵慥つ㕤摢㈹㍡昶戶搶扣㤹散づ㌹㌲㠵㌴搹搷㉢㤰㈶〷㠲愴㙤敡慤㥢㔰搴ㅡ㈴㜸ㄷ㐰摥扡㤹㄰捡㠵〶敦敡㉣㝡㥡㤴㙦ぢ戳㐸ㅢ㐳㙤㉡昸㠸㤱戹〵㐸ㄱ㜲换戶㉦敢㌶㌴捤挱㈱昷㙤㙦㐳敦㘸扤扥愳㐹㙦搲㥢敢㝡㠷晥愲慢戴愲㙦挱昲㔲㝦摢㔲挷摣㡡㙣敢㌶㠲摢〱㥡㜴っ㜷摦㔷敢㈹㄰戳戸㤲㤸戹つ昴扡㠸㤵㍢戳㜴捥ㄱつ搴攳捥搸晥ㄹ㈷㠴〷攳挸〴㙣攱慡敦㍢㘵㙣㙡㡢㠲攰晥㘵㑢㈳㌲㌸攸㔷㉢挴慦摢挸挱摢㐲㌱㜴㜶㥡ㅤ㐶㤳㡤㥣㘲㙢㈶㝣㑥〹捥愱づ扥扢戵㤰㐸ㄴ㙡㘴㉦㤶㑢摦㕦慥㑢㤲㌶㈴挹㝢㌰慣搶㥤〰㤰ㄲ敡ㅢ㉤㈵捡づ㤲扤㔷挸ㅡ㉤㔶㝡昸㔲㜶㈷㑤㍥挴㘵㜲愴㕢㍢㙣挷攰㍦〸㝡㉢搳愵㑡㑤㔸㜴㔷愶ㅣ扦〰摦㐲愹散攴戵㕢㤶愲㘶㕤㔶扣㑤㘴㐵㐷挷戲晤㜴㡡㝦㑤昸愴㐹㑡愴慥昶搴捣㤴扤㜸㥤愹攸㠶愴㔰㐹㜱つ搵㈴㄰㌹㡦戴敢㈲愶つㄱ㜳ㄷ〶捥摡㐹㌰㐲戰ぢ㈰昳㉡㈴捤㙡〷㥥攱戰慥㐵扡戴㘷㘷㡤ㅣ愷㐱㕣㠴ㄷ㕢ち慢摤㝣捤晢〸敥〵㘸㌲㝦攸㠰㑣㘱㐴㤹昲〴㈳㑡ㄸ挳㝤愸攴㥣㈷て昴戹〸㉣㡤㉦〴㘱戵挲挸㔲慦㍢㔱㍤㕥つ㈷㑡挱㌹㐴愲㌶扡㔱攲攱㜹挷〳㜷昹戰㝤㥡㜰搵㜳攷㥣愲攵㑥㔷ㄷ㈰摡㡥㑣慣㠵㡤㌹㠶〳戶愴散捤㑤㠵慢扤晤㌱慡㔰ㄸ㘹昱户搲ㅢ扢㉡敦㌷㌷㝤晤昵ㄱ㥤㈹㠵㘵愷摢搵㡢㡥改㥣㡢㔱㐴攴愰搸攵捥捣晢㡥㌳搱敢ㅥ昲㑢挵㜲挹㜳㌸ㄹ戰㌱ㄹ慣㍢敡㥣㐱㤴㘰慡捡ㄸ㘰搵敢㜵㘷㝣摢ぢ捥搹っ㈸㉥㙤㘸㜸㤲戰㐸挶ㅤ㉢㜹〱㕥㈳戳挸㜴扦㍢㍤㕦㍤㡦㠸敤㐲挵㍢㘴㥦ぢ搶挴慣㤰改昵㈵㔳愳㑣㘵㥡㉡㘷收摡㥤ㅦ㙥挸つ㠳㙢慦㤳㐰收捡挸搰㘷㥥愲扤㘹搷㐷㌱ㅡ摡改㙣㔳て愲㐷㌵㘴㐷慡ㄴ收㑡戵昶戰捣㕥㠰〷づ㥤㍡㔲㡦捣㕤㔳捣㍡㐳㉦㝦㡡㡣ㄷ戶愸〵㐲攸愳敢搳慣㐲ㅣ㌹〷㉢㄰㌳捥愷㘶昶换扢㐲㐳敥敢慢㈷て㈲㤲搴攳ㅥ戵攷㥣㌲攲搱ㄵ㍢散搳て㌴㘳㉢㜶㌹㠸昲挶慢㤵㡡㑤搶㈲㕢㑥ㄷ㙣㜲昰攸㐲㔸㍤㔶昲㉣ㄷ㐰昸㉦㐲搹ㄷ㠰戲㉦〸慡挷㍤挹搰愰愴㔹㔷昵㡣敤㤷挲昹㑡愹㤰攳〳挳㜷㙢㠲㈷戱挸㈹㜹攳㉢㤶ㄹ㠳㑤搶晣㈹㤸㙣挱㌰愶㝢ㄸ㜲㤴㐳挷改〷攷㥡㉡㡢㝦慡㑤挷ㄲ〴㡣㜸㑡慤て愰戶㡣㥣㡥㠰挸㤱敢㜲㝣〶攳昲ㄳ挰㘸㈱挴㔹㑦㘱ㄱ㜸〵ㄳ㐲㥥㉥敥慣㝢捡㉢㠵㤸㍤捥搸挱㔲㌸ㄱ㘰捡〱㤰㤴敤敤㌶㤹搵㐴愱愱㥡㔶戸㘹㜹㔶㠳㥡戸㜱㜹㝥㔲㙦扣㝢㠵㙣慤㔱ㄲ㡡攴㑡㐴愲㔹㔶㘸攳㕡㔲㌵㑡ㄴ㜷慣㙤㔴㥡摢戴㍥敥㤴㈲搷愰㤸㠴㘷っ敢㠳挲㈸〸昴㐶㍡㡡㍥晢㜴昶㐸㐴㙣㘸〳攴愹愷㌴慥㌷ち〹ㅥ挱戱㤳愲㤳㡦㥥戰扥晢愲攴攴㐲搸㤰㘳㕦搸ㄸ攵㡣㤶换㤳ㅥ慣㠴㠲敤ㄷ搷挸㤲㐶摦戴㠶㤱搵搹慥昶搷挳㥢㔸㠸搱㌲㘴㔸㈴挵て㡣㘵㠸挵㤵㠸愸搲㍡敢攵㔰搷搰㌹㍥ㅤ㜳㙣㑦㘶㘰㍡㉣㑥㌸㡢㘲㠶搵㉤昹㡤㔲愰戶㕢ㄴ㌹㙡戹愳㜳〱㔴㝡㐸㌹ㅥ愵㘴㠱㕢敥㐹扡愵㜰㠸〱㘲㌷㑡㑤ㄵ㐲㠴㜶㙢ㄵ㜰㘷戰㜶㘶〷㈳愲㐳㈷戴捥㈸㐱戳㈹㡣摢搸〹慥㥤㌶㘷ㄴ㠲搴㤵敢扢晢搵㤷㥥攵昵搲㝥㈳㑥㐴㡢㠸攱慥ㄴ敢〱㤳㥢㡣㑣㜲ㄵ㙤㡣〳收㕡戲㠹搰敡㠹㜱㌴㌱㝡㘹昲昹㈱㑥昱㌰㤶搵捦㘵㔳挶㌹户戰〴㙤㕡㕥敡㜳㡦㜸㠵昲㐲搱ㄱ㔵ㅣ换㙡搱挸㙢㘲扥攴〸愰㕥㑤㈹攳ㄲつ捡ㄱ㙣愵搸㘵㑥㔲晢㜶户戵ㅦ挵㐵挸愱づ慤晡ㄸ㠰㑣㜱换㐹㐰㙣搹㌹〵摡㠷ㅢ敡〷ㄸ攴昰ㅣ㐴摡㌲ㄴ㘵搹㔱㥣挷慢㐵㤱㘵戵㈵挸㡥㔶㡦㔶㘹戳㈷㔰㠷㑢ㅡ戵㈶收〸晤搴〲㉦㥢㠵㌱搲收敡㘰㈵挶攵㈸扡㝢昹〹㜹㌴㉥㘳㉡㘴〶ㄴ㘳扣摣〵ㄹ搹㔱㠰敥昱挹㕤敦ㅤ㍣攰㌹晥㤹㈵㈲挵ち㌷敢㔶戸㘲㌴㤸㤶戸㌵〶愰ㄸㄶ愶㠱ぢ㘵愵つ㥥〹愴㔳つㅥ敢〰㈸ㄸ㡣扣〹扦㈹㔱搳㘴㠰㤵㜱换㡤㜰攲㘳㈲戱挲戸戹㥥愹㐲㌱㠵㥢攴戰㔸㝣㕥㜱愸㠲㙤㔱搵摦摣㠴㥣戲㐳ㅣ㠹昱戶㌶愱㐷㡢㐵㥡挰昰搹慤㠹㤹挶㜱づ㙤愲㙥㙡㍡愸㈵㝤愲捤㜷㑢㔳㐶㜴㠰㜰搷挴昰㘱㍢㉣捣㑦㠷㑢晡㌰㔷㥢㙣愲㌲扦ぢㅦ挵㡡㙦愷ㅤ摤改昱㜰敡㈲挷㍥㝦搶慢㥥昷愴㕤㤹㠰㈷〱㘹搹㕡㕤㕤㙣㘴摥㜸〳晦攴㌲㡤捣搷㔱攳㙡㥡捤ち敡㑥ㄳ搶㈳㔷摥㍡㡣㕦昲捡㈰㝥㔳㜸〵㌶㝤敤㌴〱㜹㘵㔳ㄳ慦㠸㠰㔸㘷ㄶ敦捣㥢挵㉣㠶晡㙤㑣㉤ㄹ〶ㄳㅥㅦㅣ㌱つ昵ちㅥ㌸改㤸〳㑣㥣昵㈰㈱愶敦㕤昸㑤㤹㍥ㄱ昲搱昱てㅥㄶ昹晦㌳㔳昱慡㕥㜱㔹晤㙦㉣敡摦挲㘴挸㌴㘱㑥㙡敢㔲晤㘶攳㌴ㅤ搷搳愴㜸㑣㐴搶昲㈴ㄲ昱㤵㘱昸昶慡〲攵散搷晡〶昵㉤㍦㄰晣㝦戸㐱㍤ㄱ㌱㠷搸㜰〸挵摤㡡㘷㌱㈱㘰㤸愹㡥㘵㈶〳㠳晢㘲㌲㥣㐴㐲㌱捡慦㑤㠶挸㐷㌲〳㐴慡挹〰㍢挵挸㌰昶㤷㘲㈸㈶㐲戱〹户〷㜷㘸㥢㉢昴㥦ㅤ挶挱㕣㈷㐰扣ㅦち㉣ㄸ㠷挷㙡换㜲昴㤴敤摢㤵慤㠲㍦攴㍢㔰㙣晥っ㑥㝡㑢ㄱ㤶搸戶㘲㡥ㄴ㕡挱㤷ㄱ㝢攱搷晤㉤慢㍢摦㡥㤹搲㤷㜶敦慢㥣捡㕥㠳㈷㐵㜱㕦㘱㝣㙣搳慦ㅦ晡收㐷㥦摡捦搳㙣ㄱ慦㘶ㄸ㍥㙥㈷愴㑦扢〲㐱摦挴㐱㤲敢昹攱捥㌱㝣挲㔴㍡㔷㜶挶㙣㕦㉣愲挰慡挴㐹捤㜸〹挶搴捣户ㄶ捣㑤㥣㡢搰收收㜰㤳㍢㔴㍥㝣ㄲㄷ攲㜰愲攱攲昳㡢挳㡡慡愵㌲㙢搳昲捣㝣つ敡攸㉡ㅢ搲㘸㌱㜲㔷捡㑢愹慦挶晡㑥㈳っ㘳㌷㌴㥡摥㙡㉡ㅥぢ㠸愵ㄴ攲ㄳ攴㤰攴挶㠶〷〶㐴㑡㍤㡣㐴收㉥㠰㤴挸㕢㜳〸㤸晥㠲㜵㈱攰搴づ〵戶昹㤱ぢ㐶㤱ㅡ㠴摦户㕣挳攲愷㝢㈰㔶㑤っ攵㡡㑤昳〸ㄲ戲㤱㈱㘲㈴挶㝥〸㠹昸捡散㐲㙡搵敥㉡扥愴户愲〳㜳㝡㘱㘷㉡昴挵攵㉢〷扣〵㥣っ㠱㥥挹㡡挲昰㌶㄰㡤捤愹挴昰㌴㘹㕥愳〸晢㜵戲㔶愸㍢捡㠲捥昲戶㘲㠷㡡攰㈰扦㈴㘲晥㔰扤敡敢㥢㜳愸攳扣㉥㜴㤰㌷散慦ㅢ㔳ㄶ㌶摥捡ㄵ〳〹扢㉡慡㥣㍥㍥晥㐳㈸挲㑥ㅢ捡慡㈷攵㔹㌱㠶ㅤ慦慣づ㜳㤹晥㘷㜴㕢㔶搶㠷㔹㥡㘱敥〶晤晦ㄱ㈰慥愸晦搵ㅥ㤶挵㙤晤㐸㤴攰㐳㠶昱㤵㉢㠶㜴㌸㈲昰㝣㈳戸㈳㥢㘴㑢㤲っ㠹敢搴㌴㍥㙥搵搹㈲挱攱ㄷ敢㙣㍥㍡㔱㉢㑢摢戶扢愵〰㘴散㈸昳㍣㐴㔰换昲㡤㜲㡢戵昱捡㥥〶搸㜴慣㔴昰慢㐱搵つ〷愷ㄱㄴㅥ攴户㘹㉥㙣㥥㔱昵㕣戳㔰扢〵㈳搱㌳㠷㌲挷㈷㈱戰㡦㍢攱㥢ㄵ慢㘴攴㘱㜵㤱づ㝥愷㌴㤰〸㍦㔱㍢〴搷戹㈷ㄶ散㌲㍥㙤㥤㠴㉦㌴㈴㙡㑤㈸㍢敤㤱㙥㍥挱挱愱挳ㄹ慥〷攱ㅢ㜲捡挳〸㥥㐹ㄷ㍥晣ㄱ㡥㙢昳ㄸ㌴搲㐶㝤ぢ㐸搹㥥㑦㉥㥦昹㐵捣改敡摥搲挸㌲㝣㈷扦㔸捥㕢㐵㐲ㄸ挶晢昱扢㝡〷㉥㙢摢〸㍥㡦㍥昸愶㔳㙣愸っ㔷摡㉡愲攳づ㡡慡㌱〲摣ㄶ㔸搳㌰㜱㜳㜱愹〹〰㉥㐵昵㉣扡挵〵㠰戴㤱㥤〷㘸捤搵捦慣挴搵敡〰㙢挱㙤㍤捡ㅡ愲㕢搱て㈴搸戳㐹㉣摤ぢ㠲㉤㈷戱摣捤ち戶㤲挰づ挴㕢㕡㜵〲㔸戲㜹㕥㍤㡤〶㜰ㅡ昴㜰㔶㠹挳㕥㐶昶㈸㐸㕢㜱〹愴つ挵㍤㡡㜴昰㜳㈸㔰敢愰て㙣敢づ㝥㘶挵づ搲扡㤰收㈵敢ㅦ㠸戵㤳戵㠰㙣㙢㤱攰㍣挱〵㠰㠱㔸㐹昵㔳敥㜲扣戳㍡戶昱㜵㑥㍤慥㍦㡦㝥㉦敤㝦昵㈲慦敦散㔷㈲㘹㤱搵搸ぢ㑡㕡改挵㈷㤲扤昸ㄸ戰慤㝢昱搴㑡扤ㄸ愰㄰㘶㑢慣ㅦ〵攸敤㔰㐵晣㐸慦㝥っ〹づ㈸㙦㈵ㅣ㠳㐴㐳㉢〶挸㌹㔲昶㐹㘶晤㌸㐰慦㌹挰改愶敦挷晡〹㠲㥦㈴㜸㡡攰攳〴㥦㈰昸㈴〰〸挹〱㐲昸㈹㈲㝦㡡攰愷〹㝥㠶攰搳〴㥦〱〰㈱㤹㐲〸㍦㑢攴攷〸㝥㤶攰昳〴㑦ㄳ晣ㅣ〰〸挹㈷㐲昸昳㐴㝥㠱攰㡢〴捦㄰晣〲挱戳〰扤愶㈲㡢㐸㈷扦㠴㐴摣挹っ㘷㉣攵㌳㈸戱ㄴ㜹㘴㤴慦挸㙡ㄷ㜵㔶摢〷戹㑡攴㥢㕥ㄳ㔲ㄲ㕤愲摤搵㔲戹㘵摢㍣ぢ愱㥣㤸㠳づㅦ㡥㍣㠳㄰ㅣ㌵づ搶㐱〸㜲㍣〷㔲ㄵ㘳攲㤷㕦愹㍢慣㤰㠱ぢ㙣慥㠹戹㌲㠴戸㄰ㄳ敦挲昷㙢㐲㈳㈲㠹愹㑢㌱㌱㔷㤰㄰捦挵挴摦摥戵戵㐶ㅣ㉦ㄸ㕤㜳㠶摣㥣㘲昵换㍥㈸昱㉤㝢㍦挸㌳㉥㉤㠹㙥㔷愳愹㐳㈴挸㕥ㄶ㕢愲〷挷㘶㝣㝣㑤㝥ㄴ愷挰㜰㔸〶敡㐶晦㔱㠹㈳㌸ㅤ㌶㘱㠷㌶㍥ㄶ㕦㐴㔸摥户攴㠹㠵戳敥愴て㐴㤷㝢㈴挰敥戲戸愶㔸〴㠶㔱㈷㐵㝥挴㈹㘶㑢㔶㐹㌱愲敢攳ㄱ㠷ㄳ㑤㥥戶㘹㑦㡤㑡挸愹㔳㥤㡥㘷搶㜸戲捥㌳搶昳㘸㈷攴戹戴ㄷ敡昲〵㈴㜴㠸㡡攷扡㡤〱ち㉡㤱㐲扦挴㡣ㄷ〹㝥ㄹ㈰慦㥥〴㈴ㅦ㘴㝦〵愰て扡㝥敦㈰捥㌵㜹っ摣㤶㤵㝡㘴挵㜷扤㐴晡慦〲㜴挰㤷慤㑦晡攰昴㠶昵㌵㘰ㄲ敦㔴㤴㜵㔲昵慦㈱搱ㅦ晦戵㤰挱㐵㜱㑡㤹敡㘴㕣㜷㤲㐳慤摦㘰㈵慣ㅢ㘷㤲〸㔱敦换㐴戱ㅢ〲㡣っ㘵收晢㕢ㅢ晣摣捦挷㝦扤〰昱摣㠶㍦㔳㜰〰㝦㜶㘰㠹㤳摡㠱扦扡㤲㤱摤㐹愷戹户扤扡挸扦ㄹ㔴㈵昷㌱㜴收ㅡ敡㘱㔷敢㈱㈱搶㐸㠱㥢㔷搴っ散慥㍡㡡晡昹づ敥㍢昲㡡扡㐲搰て㐶攸捤㠲晥㜸㡣㝥㈰㐲㙦ㄱ㌴昵㠹㔰ㅦ㠹搰㜷〸㥡ㅡ㐶搰㤰㔳㔲㌷㝤㡥㜹昵愹ㄸ㝤㈸㐲敢㤶㔰昵〸昵挱〸慤㕢㐲㘵㈴攸〳ㄱ㕡户㠴敡㐹搰ㄳㄱ㕡户㠴ち㑢搰攳ㄱ㕡户㠴㉡㑣搰㘳ㄱ㕡户㠴㥡㑣搰愳ㄱ㕡户㠴扡㑤搰昷㐷㘸摤ㄲ㙡㍢㐱敦㡦搰扡㈵㥦㡦搱ㅦ㡣搰扡㈵搴㠸㐲扤㉦㐲敢㤶㔰㐷ち晡〳ㄱ㕡户㠴慡㔲搰敦㡦搰扡㈵㕦㠸搱㝢㈳戴㙥挹ㄷ㘳昴㥥〸慤㕢昲㑣㡣扥㉦㐲敢㤶㔰攵㑡摤昷㐶㘸摤ㄲ㉡㘱㐱扦㉦㐲㑢㑢〶愸㡢㘵ㅤ晦〹ㄲ搶㐵㠲㔷〱昲㤹攷〱㔷㉤㠸挸㙥㙤㥡挵㝦㡡愲敡〵〲摣搶㥦㐵〹㍥㈸㡡ㄶ㘹昲捥愸挹㌴扥㜲㘶㔶扤ㄸ㘷摣ㄵ㘵散㤳っ愵㈸㠲愴挴㜰㤴㐱搳捥晡ぢ〰昵ㄲ〰晢㘴扤挶㈷㡡ㄶ㜹攱㌷㤰㌰愳㕢㔱㔶〸捤㕦㌲晢㘵〲摣搶㕦〱搴㘸㌸㑥昲㡡㍢㥡ㅡ挵戱㤳㡣摢㥢ㅡ挵昱㤴㡣摢㤲㡤晡ㅢ㘰㤵㜴ㅥ㠹㐶ぢ㡦㠳㈰㜳昲㜷㐸昴㜶昴戳晤て攳㌶㉦愸挲改攲改搳摦敦敦ㅣ摣搶昹挸晤㍤捦㕥晡攳搷㥦㝥敤㠷昷晤换て扥晣攵搷晥改改㡢㍦昸扤戹㝤㝦昸挲ぢ㝦昰挰㜳ㄷ㕦摦攰㝥挵㝣攵晢㐷扦昲昸挸搹挷ㅦ㜳㑦摤㜹攸昱て㍤㝡㘲㘴敡扡愱㡥㡥慥慥摢㌷晥搱つ㜷っ㍣昹搸敦愸摦晦敢㉤㥥㤲㈱挱ぢ慣扦〷㘰㤷㜹て㜰㘸愴ㄹ晦㠰㠴㜵〹〰㐶㥣㡣っ㥦扦〹㄰㕦〳ㅣ㈱㈱㝤ㅤ〹敢ㅦ〱㝡捤㝥昶昰㉤㙤㌶㠷㐷〶㜶㝢㌴戰㘳㐰攴㤴㌱挰㙥㐸㜳晥ㄹ〹㤸搷散㠰㄰㙥㙢㈴㔴㤷攲㡣慤㔱〶㡦愹㕢晦ち㌰㄰昷㑦戱㑢㔲㜸㑢㔳㘱㜶㔳㌲㌶㈷ぢ㝦ㅢ搸っ摦㥢㜲㉣扥慥挵㜳㈰戴挴昱㐵㝤扥摣昹㜵㕤㜴㠰㘸愸㐶戳愱㠶愹昹扣晡㙡㈸㜱㘳㕤慤摢ぢ㈳挵挱㌲㙥㙥慤戶攸㔴㡢つ㡥㥣㕡㌵㘱攴晡晡づ㉡攷ㅢ㤴㔵㑢挹愳攲㐰㍦㡦摢晡㌷收㜲攴攴改扢㐸㘴㐸扡㡡ㄷ㈹㤰戵㈹㜹晥ㅤ㐵㤵扣ㄹ㠹ㅡ㍦戳㐲挵ㄶ㌰㔱挳㈲㙤㈸㈹㐰散㝦昰㈹扡〷昸挰敥㔸晦〹〰㘶攳捦㉥㍥㝦て㈰㉦㘴㠹愴㍣昷㌳㡢㔷戶晢㝦〰㕡戳㔵ㄲ</t>
  </si>
  <si>
    <t>Pumping energy, impoundment to trucks (reuse)</t>
  </si>
  <si>
    <t>Diesel use, produced water trucks</t>
  </si>
  <si>
    <t>Pumping energy, storage tanks to trucks (CWT)</t>
  </si>
  <si>
    <t>Pipeline diameter, impoundment or tanks to trucks</t>
  </si>
  <si>
    <t>Diesel use, produced water pump</t>
  </si>
  <si>
    <t>Pumping flowback water</t>
  </si>
  <si>
    <t>Pumping produced water</t>
  </si>
  <si>
    <t>Fracturing</t>
  </si>
  <si>
    <t>Transportation &amp; Storage</t>
  </si>
  <si>
    <t>MJ/unit</t>
  </si>
  <si>
    <t>kg CO2/unit</t>
  </si>
  <si>
    <t>Laterals per wellhead</t>
  </si>
  <si>
    <t>Total fluid volume per wellhead</t>
  </si>
  <si>
    <t>Base fluid volume per wellhead (water or CO2)</t>
  </si>
  <si>
    <t>Volume of fluid drawn from source (per wellhead)</t>
  </si>
  <si>
    <t>Proppant (sand, per wellhead)</t>
  </si>
  <si>
    <t>Chemical Additives (wellhead)</t>
  </si>
  <si>
    <t>Pumping (blending and fracking)</t>
  </si>
  <si>
    <t>EUR per well, gross energy (SINGLE lateral)</t>
  </si>
  <si>
    <t>EUR per wellhead, gross energy (6 laterals)</t>
  </si>
  <si>
    <t>MJ/kg CH4</t>
  </si>
  <si>
    <t>Dehydration energy consumption, total</t>
  </si>
  <si>
    <t>Dehydration energy consumption per kg gas</t>
  </si>
  <si>
    <t>Total CO2 flowback + produced (total recovered of injected)</t>
  </si>
  <si>
    <t>Volume of CO2 vented in flowback per well (SINGLE lateral)</t>
  </si>
  <si>
    <t>Flowback volume per wellhead, water</t>
  </si>
  <si>
    <t>Number of trucks required for CO2 transport to next frac site</t>
  </si>
  <si>
    <t>Total vehicle-km, CO2 to next frac site</t>
  </si>
  <si>
    <t>Diesel use for CO2 transport to next frac site</t>
  </si>
  <si>
    <t>Trucking CO2 to next frac sites</t>
  </si>
  <si>
    <t>Flowback time (CO2 venting)</t>
  </si>
  <si>
    <t>Separation, stage 2: CH4 to be compressed</t>
  </si>
  <si>
    <t>Separation, stage 2: CO2 to be compressed</t>
  </si>
  <si>
    <t>Separation, stage 3: CH4 to be compressed</t>
  </si>
  <si>
    <t>Separation, stage 3: CO2 to be compressed</t>
  </si>
  <si>
    <t>Separation, stage 4: CH4 to be compressed</t>
  </si>
  <si>
    <t>Separation, stage 4: CO2 to be compressed</t>
  </si>
  <si>
    <t>Total  CO2 to be vented or recompressed from separation</t>
  </si>
  <si>
    <t>Total CH4 to be flared or recompressed from separation</t>
  </si>
  <si>
    <t>Membrane separation: Compression</t>
  </si>
  <si>
    <t>Membrane separation: Flaring</t>
  </si>
  <si>
    <t>Compression energy, separation: CO2 portion of stream</t>
  </si>
  <si>
    <t>Compression energy, separation: CH4 portion of stream</t>
  </si>
  <si>
    <t>MJ/tCH4</t>
  </si>
  <si>
    <t>CH4 lost as recompressed/reused gas</t>
  </si>
  <si>
    <t>Mass CO2 vented in FB per well (sfc conditions 25C, 1 atm)</t>
  </si>
  <si>
    <t>Diesel use, compressors in separation</t>
  </si>
  <si>
    <t>Total mass CH4 to be compressed in separation</t>
  </si>
  <si>
    <t>Total mass CO2 to be compressed in separation</t>
  </si>
  <si>
    <t>tCH4</t>
  </si>
  <si>
    <t>tCO2</t>
  </si>
  <si>
    <t>Diesel use, recompression (CO2- Optimal Case)</t>
  </si>
  <si>
    <t>Diesel energy for separation compression, CH4 (diesel-electric)</t>
  </si>
  <si>
    <t>Diesel energy for separation compression, CO2 (diesel-electric)</t>
  </si>
  <si>
    <t>Time to pump all source water to impoundment</t>
  </si>
  <si>
    <t>Recompression (CO2 + CH4 to re-frac)</t>
  </si>
  <si>
    <t>Recompression energy use, direct (CO2 portion of stream)</t>
  </si>
  <si>
    <t>Diesel energy for CO2 recompression (CO2 portion of stream)</t>
  </si>
  <si>
    <t>Recompression energy use, direct (CH4 portion of stream)</t>
  </si>
  <si>
    <t>Compressed CO2 + CH4 volume for transport to next frac site</t>
  </si>
  <si>
    <t>CH4 density, transport conditions (-20C, 2 MPa)</t>
  </si>
  <si>
    <t>Amount CO2 sequestered (for storage credit)</t>
  </si>
  <si>
    <t>kgCO2</t>
  </si>
  <si>
    <t>CO2 sequestration credit (negative GHG)</t>
  </si>
  <si>
    <t>CO2 Base</t>
  </si>
  <si>
    <t>**Note: % life cycle impacts for CO2 cases calculated based on total impacts, i.e. neglecting CO2 storage (benefit)</t>
  </si>
  <si>
    <t>Hydraulic Fracturing</t>
  </si>
  <si>
    <t>Stages per lateral (single well)</t>
  </si>
  <si>
    <t>Mass of liquid CO2 injected (total wellhead, 6 laterals)</t>
  </si>
  <si>
    <t>*H2O conditions: 25 deg C, atmospheric P; CO2 conditions: -20 deg C, 2 Mpa</t>
  </si>
  <si>
    <t>**H2O @ 75C, 19.6 Mpa, CO2 @ 75C, 14.41 Mpa</t>
  </si>
  <si>
    <r>
      <t xml:space="preserve">Total vol of CH4 </t>
    </r>
    <r>
      <rPr>
        <sz val="10"/>
        <color rgb="FFC00000"/>
        <rFont val="Calibri"/>
        <family val="2"/>
        <scheme val="minor"/>
      </rPr>
      <t xml:space="preserve">potentially </t>
    </r>
    <r>
      <rPr>
        <sz val="10"/>
        <color theme="1"/>
        <rFont val="Calibri"/>
        <family val="2"/>
        <scheme val="minor"/>
      </rPr>
      <t>flared per well, CO2 cases</t>
    </r>
  </si>
  <si>
    <r>
      <t xml:space="preserve">Volume of gas (CH4) </t>
    </r>
    <r>
      <rPr>
        <sz val="10"/>
        <color rgb="FFC00000"/>
        <rFont val="Calibri"/>
        <family val="2"/>
        <scheme val="minor"/>
      </rPr>
      <t>actually</t>
    </r>
    <r>
      <rPr>
        <sz val="10"/>
        <color theme="1"/>
        <rFont val="Calibri"/>
        <family val="2"/>
        <scheme val="minor"/>
      </rPr>
      <t xml:space="preserve"> flared</t>
    </r>
  </si>
  <si>
    <t>Flowback + produced CO2 (% of injected fluid)</t>
  </si>
  <si>
    <t>Initial gas flowback rate, CO2 (0-3 days)</t>
  </si>
  <si>
    <t>Flowback H2O (% of injected fluid)</t>
  </si>
  <si>
    <t>Initial gas flowback rate, H2O (0-2 days)</t>
  </si>
  <si>
    <r>
      <t>Diesel energy for CO2 recompression</t>
    </r>
    <r>
      <rPr>
        <sz val="10"/>
        <rFont val="Calibri"/>
        <family val="2"/>
        <scheme val="minor"/>
      </rPr>
      <t xml:space="preserve"> (CH4 portion of stream) </t>
    </r>
  </si>
  <si>
    <t>Pumping</t>
  </si>
  <si>
    <t>Recycled flowback transport distance (wellhead to wellhead)</t>
  </si>
  <si>
    <t>Flow rate, flowback tanks or impoundment to trucks</t>
  </si>
  <si>
    <t>Velocity, flowback tanks or impoundment to trucks</t>
  </si>
  <si>
    <t>Reynold's number, 4" PVC, flowback tanks or impoundment to trucks</t>
  </si>
  <si>
    <t>Friction constant s, 4" PVC, flowback tanks or impoundment to trucks</t>
  </si>
  <si>
    <t>Friction factor, 4" PVC, flowback tanks or impoundment to trucks</t>
  </si>
  <si>
    <t>Friction loss, flowback tanks or impoundment to trucks</t>
  </si>
  <si>
    <t>Friction loss, produced water storage to trucks</t>
  </si>
  <si>
    <t>Electricity (US mix)</t>
  </si>
  <si>
    <t>Diesel, at regional storage, per MJ consumed</t>
  </si>
  <si>
    <t>m3 H2O/unit</t>
  </si>
  <si>
    <t>m3/GJ</t>
  </si>
  <si>
    <t>Direct water use, fracking</t>
  </si>
  <si>
    <t>Diesel energy for separation compression, TOTAL</t>
  </si>
  <si>
    <t>Trucking emissions, CH4 &amp; N2O (use phase)</t>
  </si>
  <si>
    <t>Diesel emissions, combustion in industrial engine (use phase)</t>
  </si>
  <si>
    <t>Trucking diesel consumption</t>
  </si>
  <si>
    <t>Water consumption</t>
  </si>
  <si>
    <t>Fluid density, transport/storage conditions*</t>
  </si>
  <si>
    <t xml:space="preserve">Fluid density, bottomhole conditions** </t>
  </si>
  <si>
    <t>Wastewater treatment (impacts at WWTP)</t>
  </si>
  <si>
    <t>Wastewater treatment (impacts including electricity production)</t>
  </si>
  <si>
    <t>CO2 Outlook</t>
  </si>
  <si>
    <t>L/GJ</t>
  </si>
  <si>
    <t>CO2 compression at source</t>
  </si>
  <si>
    <t>CO2 compression energy at source</t>
  </si>
  <si>
    <t>㜸〱敤㝤㜷㥣ㄴ㐵晡晥搴㠶㘱㙢〸摢〸㈸㠸攲挲㠹㠲挰戲㠱慣摣敥戲㑢㤴扣〴昳㍡散捥散㡥㙣挰㥤㔹㠲〹㑦㔰㔴捣ㄹㄳ愶㌳摣ㄹ㑦捣㝡㠶㌳㜲㤸昳ㄹㄱ挳ㄹ捥搳搳㍢㐵㑥晤㍤捦摢摤㌳摤㍤㍤扢攰改攷攷ㅦ摦摥㤹㜷慢摥昷愹户敡㝤㉢㜴㜵㜵㜵㑦㐰〵〲㠱ㅦ㜱昰㍦㡦ㅣ〶㜶慢㕥ㄱ㑦㐴㥡ち㉢㕢ㅡㅢ㈳戵㠹㔸㑢㜳扣戰愲戵㌵扣㘲㝡㉣㥥挸〶㈰㔸ㄳ㠳㍣㥥㕢ㄳ㡦ㅤㄵ挹慢㔹ㅡ㘹㡤〳㤴ㅢ〸攴攵改㉣挸㜷戶扥㠶ㅤ搱㑣愵㜳㐸㠰ち攸㈰㐹㈷㤲㍣ㄲ㑤ㄲ㈲改㑣搲㠵愴㉢㐹㌷㤲㝣ㄲ㠳愴㍢挹㑥㈴㍤㐸㝡㤲昴㈲㘱㠶㝡ㄷ㤲摥㈰㕤晡㠰捣慢㥣㌰㙢搱ㄱ㈸㝥㜵愲愵㌵㌲戴㘰㠱㔹挸昱挵挵㠵挵㠵㈵愵㘳㡢ぢ㡢㠶ㄶ㔴戶㌵㈶摡㕡㈳攳㥢㈳㙤㠹搶㜰攳搰㠲搹㙤㡢ㅡ㘳戵晢㐷㔶捣㙢㔹ㅣ㘹ㅥㅦ㔹㔴㔴扡㈸㍣㘲㑣昱㠸㤱㈳愳㘳挷㡥改戲㉢㌴捦慣㥣㌰扢㌵ㄲ㡤晦㕣㍡晢㔲攷慣捡〹㠵㌳㈳㠹㥦㑢攷㙥搰〹㤵㔵㉤㑤攱㔸昳捦愴㌴㤷㤵㌸戲㉡㔲ㅢ㘳㙤㐷㈲慤戱收晡㐲ㄴ摢攵㘸挴㐶ㄷ㔶挴攳㙤㑤㑢搸㜰㉡㈳㡤㡤㜳㈳㔱愹攵愶慡㜸㘲㜶戸戵㈹摥愵㠹晥㡢戴㐶㥡㙢㈳昱㙥㑤ㄳ㤷搷㐶ㅡ㉤㘰㍣慦㘹㐱戸㜵㘶戸㈹㤲挳㐰㝥㤳㔹㠷㔳敢㈲捤㠹㔸㘲㐵搷愶昹昱挸摣㜰㜳㝤㠴㤰摣愶挹㙤戱㍡㤵㤳㠳㑦㈰㝢㙦扦㤲㐹㐵愱㍣㑤㤵つ攱搶㠴挴㔸㠵挵㝥㔸㐷㜳ㄱ㉢㕣攵㘲㤳㉡昰愴㘲㥤㔵挷㥡昶㡦戴㌶㐷ㅡ㤹〹㙢㜲㠸〷㈴づ㌲敢㈱改㈹摢ㅣ搶㤲敡㙣昵㌶摡挲㕣㠲扢㠳っ㥤摥㔲㍦戳愵戵〹㙤㜲㐶㈴摣㍣扥愸戰愴㜸㘸㜵愲慥㉡戲ㄴ攱愲攲愲㌱㐰搴㠶改攲昱㐵扡ㅦ㔲攸㍤㤸戶〰愴摦㐴昶摡搶㔸㉤ㅣ㌶戴㘰㝥㜵挱㡣搸昲愱〵㡢敢ぢ㉡㘷㤵っ㥦㌱㑤昷㈷㝡〰㠸捡㜹ぢ㕤摦㤹㍦扢㕦㔶㑤㌸慢㘶㔱㔶㑤㙤㔶㑤㕤㔶㑤㈴慢㈶㥡㔵㔳㥦㔵搳㤰㔵ㄳ换慡㌹㈲慢㘶㌱㌰昶㤱搷愹㔳㤶㜵㕣㕦㝦摥㌹㝦戹㜰攸晥昷晤改搹戳㍥摦㜰昲㌶挵摥㉥㠳挵㥥〸散攳戱愷愴愸㜰㠴㙤㑦㐹㘱搱〸愷㌵〳㠱搷㝢㠱〴昷〶改㌱扢愱㈵扥愴愱愵㌹㥣㠸ㄴっ㥡㌱㙤昸攲晡挱㝡㄰㈱㠳㐱㤴㝡〵㈶搰㡣㘳㙥昹㔳挵㝥㤷㜷㥦戱晡㤴摣㙥扤戶っ搸㉦㤷〳㑤愹㕦㘵㜸敢㜹ㄲ挶㠷摡㜰㍣㘱㌵㐱づ㑢㍦㙦ぢ敤戸㠱㑥㙡慤晤攵ㅢ㈸㌲昹㔹ㅡ愸ㅥ㐲敦て〵〹づ〳ㄹ㠸㘶㔵㄰㙤つ搷づ㉤㔸ㄴ㡥㐷挶ㄵ㑣㙣㡥戴搶慦㈸㠸㌵㉤〹搷㈶愴捡㈶㑦ㅢ慣ぢ㤹㘸㌸㠸㔲捦㔹㔵㔶㌰㝣摡搶㜹㍤昲㈷㥥户㑢挳慣ㄳ㝡敦昵愳攲㘹㐱㥡㑣㌱〲扢捥㙦㡥㐵搱〵㠶捥㠸㌵㡦㉦㉤ㅡ㔱㌸㘶攸㡣昰昲昱挵㈳㑢㐶攸ㄲ㉡㉢〵〹㡥〰ㄹ㌲㍢戶㈴搲ㄸ㙢㡥ㄴ㌴㐶㥡敢ㄳつ㐳㤹㜷㑢㕢㜳㕤ㄳ㐶㡤㠲㐴㑢㐱ㅣ愷㠰㜰㍤㥡㑦搳㘰㍤㤲㐹㐷㠱㈸昵㤴㔵㡥㡤㕦慤摥晡捤㐳挳㈶摤晣㜸慦㠹昵敦㕤㜴㠹㘲ㄳ㤰㜲㡣㐱挰摢㜴㑢ぢ㑢挷愶㥡敥愸戱捥愶㍢㤶捡挷㠱〴昷〵搹搵户㈳愲〹愳ㄳ敥㐷攴㜸㄰愵ㅥ戱㡡戱敤㥥摥㝡攴收〷㉢㉦㤸昰攸捣㍥㙦ㄶ㥦愱㌸㙡㑡㌱捡㄰㈸昶昴㈰㡣〲㐵㈵㘳㥣㠳㐲㔱搱㠸㔱㈳㥤愵㈹㐷㌲㕤〱ㄲ㥣〰戲晢散〵㤵〵昴㔴挱挴攵㠹搶㌶㡥攱㐳ぢ㥡㑡ぢ愶㤴捣㐲㥦搲㤵〴㔷㠱㈸㜵㥦㔵愰㘳捦㌹㘴㜰愷㠵愷㑥扢㙦挱〳㡤㐷㍥㜸敦㉤㡡攷㘹㈹搰㈴〴㠶愷ㄷ愸戸搴㜶っ㑢㔷㍣愶戴挴㔹㥣挹捣㘱ち㐸㜰㉡㐸户㈹㤵㌸摦愶昲㥦㐶改晥㈰㑡㙤戰昲㝦㍣晦愱㡦ㅦ㉦㥦㌶晤攲慥户㝤ㄲ㈹㔸㕦慥㌸㐵㤰晣㘷㈰攰攷㤰攲ㄱ㈵㜶〹挶ㄶ㤶㡥㥣㌸慣挸攵㤰㤹捣㘳ㄶ㐸㜰㌶㐸捦敡㜰㜳㥤愳〸〵㡣敢㌹挴捣〵㔱敡㈶慢ㅣ搹愷㤷扦扢㘵捤㑥㤳㙦㝥晣昱攷愷㝥㌴㌴慥㌸㑣捡㍣㘶ㅥ挱昳㐱㠲ぢ㐰㠶愴㝡㐲㑢㕢愲戱愵㘵昱戸㠲挹㔳㈶㈷㝢㠲㌹〴㐷㡥ㅣ捥晥戰㤰㐹て〰㔱敡㍡㉢㥦㌳ち摥㝥晤㡦ㄵ㌷㤵㙦戸攵愶敦ㅦ㜹㝣攳㄰挵㠹㤰搸㝢㄰〲㐵㍥晥㉥ㄹ㙤㥢㑢㠷ㄷ㡤ㄹ㍤摡改昰㠳㤹挵㈱㈰挱㐳㐱晡捣㙥㘹㕣ㄱ慥㙤㕤搱ㄸ㙥㡡搵㘱㐶㤴昲晤㘱〴搶㠰㈸㜵㠵㔵㤶㐱㥤㙢㑦愹㥡㔷㔱㜹摦㌱户づ敤㝡挳㙥敦㉢捥挷挴收㌰挱㡢㐰㠲戵㈰〱㕤㐷ㄲ〱㔱敡㘲㉢㜱换㕤〳㝡㡦晣捤〹㔳慦㍢改戹㔸改㠴㍣愵㌸㡦ㄳ㐳敡ㄱ搸捤搹戱挷㘰昰ㅦ㘹㜶散ㄱ㠵㤸㘸改〶慡㡢㠱〴㡦〰ㄹ㍣㌷㔲扢愲戶㌱㔲㔷㄰㙤㙣㔹戶㈸㕣扢戸〰ㄳ戵收昸㤲㤶搶㐴㐱ㅤ愶愳㘱捣㈱ち〶㉤㐶挷收㜹㐹㌷㠲㈸㜵慥㔵㡥挳㜶㝤㙣晡愴摤戶㔵㥤㌱攵慣㌷㜶敦㌴改慦㡡㔳㐹㈹㐷㌳〲〳攷戵挶㌰㤵㘸㙢っ户捡ㄸ㌳慡㘸攸昴搸㘲っ㈴㤱㜸㘲晣㘸戳㔰㘳㡢㜴ぢ昵㉥〱〹ㅥ〹㔲㌰挹㉡挷搰㠲㠱〵㉤搱㠲㔸㌳攷㤸㔲㍥㥣扦挷㤵㡣搳慤挴挷㐱㤴㍡捤㉡挷㌵摤㕥㑡㉣ㅥ户㘶敡㙤㜷㍤昶挲搳昳挷て㔳㥣捤㑡㌹摡㄰昰㙢挸㈵㈵愳㕣㌵㕢攲ㅥ㘷㤶㌲㡦㘵㈰挱攵㈰㍤㘶㐴ㄲつ攱收ㄶ昴愷ㄹ挹晥扣㠲㤰愳㐰㤴㍡搱㉡挶㈳㝢搴ㅣ戶昰攳㜷㉡敥愸扥愸㐴㔷收散愹㌸㥦㤶㍡㍤㠶攰㘳㐱㠲挷㠱ㄴ愵摡戱㌹愲㔷攲ち㐰㈶㜴㑢㈳〵换㜰ㅥ㙥戵㥢㜴挱愰改搲㤸㔷㌲晤昱㈰㑡慤戴㌲㝢攰㤵㌷摦㍥昴挳扤㉡搷〴㡥戸敤散㙢愳ㅦ㉡捥摢挵收ㄳ㄰昰戳戹㘸攴搸攴㥣㐰㥡㌳㠶ㄳ挷㈴㘷ㄵ㤲改搵㈰挱ㄳ㐱㜶㜶㡤慤㔶㔳挶戸㝡ㄲ㔱㙢㐰㤴㕡㙥㤵攴昲㘷づ㝣搳㌸敤攰昲换㙥㝣㘷搹扤㝢扤扣㐱昱攲㐱㑡㜲ち〲改挳㔸㜱改㐸㠷敦㑢挶㤶㘲敡攵㈸挷愹捣㘱㉤㐸昰㌴㤰㍥㤳ㅢ摢ㄲ㘱㕣㍢搴㐵ㅡ㔶戸㝢搵改〴㥥〱愲搴㤱㔶㔱搶ㅤ㕦昴挹㙦㥦㥤㌳攳慥挳晡㍥扤昳㡡ㅢ戵攲㈵㡣ㄴ攵㉣〴昶昴㌶㐸㐷㝢㉣㉥㌲㍢挹ㄸ㝤㌶搵㥥〳ㄲ㍣ㄷ㘴户㠱〵慤㤱戶㌸ㅡ愰㔵㌱捤㜲㉥㐶㜷㐱㜳搴攷ㄱ㝢㍥㠸㔲㐷㔸㐵㜸㘱搵㑥㘵㘷戵㥣㌰攳昴㤳戶㝥㕥扦敤㤵㔳㔴㉦㠸愵〸ㄷ㈲攰㔷㉦愳㐷㡥㜱昸愳愸ㄸ扤搴改㡦㡢㤸挷㍡㤰攰挵㈰㝤ㄷ㘲㈶ㄵ㌱换㌲慦㌵ㄲ挶ㄵ㡤㔵㌹㑤愵晡ㄲ㐲㉦〵㔱慡搶㉡捥ㅦ㘶搶㠶戳敥摥㘹晡㠵攳㈷㉥㥢㌰敢捥ㅡ挵㑢㌹㈹捥攵〸散攲ㅣ㉡㡡㔱づ㤹〱㡣ㅥ慤搷㔳搳ㄵ㈰挱㉢㐱昶㥡㤷㍥㈶攰戴扦㡣㐵挱㜸㠱㔲㤸㐳挴㔵㑣㜵㌵㠸㔲㠷㔸昹㈷づ㉢㍡晡㥡㑢㈲攵户慡㝤晥㥡㥢晤改㘲挵慢㐸挹晦昷〸昸戹㘳攴㔸搷㐹户戸戸搴攵㡥㙢㤹挷㜵㈰挱敢㐱㠶㔶㘱㌴㠹㌴ㄶ愰〴㜳㈳昵㌸攵㠶ㅢぢ㜸㐱㡡搹㐸搲㌱㌸㉤㤸㈸㝤〳搳晥〱㐴愹昹㔶昹㉥搹扤晥摢㈷㉦晤㕢昹㌵摤て搹㝦㙤挵慡㌱慡㌷挴㔲扥ㅢㄱ㈸昴㌹㈷㌸敢慡㘸㘴愹敢㐲攱㈶㘶㜰㌳㐸昰ㄶ㤰㍥㌲㈳㘸㙤愹㙢㤳㡢㝣㐷㠱昴慤〴摥〶愲搴㑣慢㈴㑤ㄳ㌷挵挶づ㕢㕡㜵㝦晤㡤敦晦晤愹攲晣㉥户㐳㍣挷扡㜸愹㙡つ㉦挳攵㘰敡㑡ㄳ㤳㝡晥㜵㝣㠹㡤㉢散攸挸攸攸㘸㜱㜱摤挸愲㜰㘹㌸㤷ㄷ㌳摢㝢㉤挷㜱戴㑢㜴㘱慣戹慥㘵㤹㕣摣敤㌶〱㔳搰搴㔴㝡㠸㈵㥢挰搹㘰扣慦扦戰㍡㠱㈱㙤㔷慦㉣愵㈴㉤㔹㌵㉥㝤㈳㜱挹慦㥦㌷搹㠲㜰㘳㕢愴㘲㜹捣ㄴ敦敥ㄱ攳挲户㘵㔱㘶改愴搶挸㤱㐹㘹㕡㠹㉡㔰㑢㑢㐵㜷㥡㤵愶挸㉣㔷㐱㈵㉥㤸㈲捤㔲扣㈱㑤戳㘳戵㡢㈳慤搵ㄱ㕥ㄲ㐶敡挴搴㕥ㄴ㔹㔷摦㐳㘶㌵挳㔰㕣㑦搷つ㜰㜲愳㤸㈲㐶㥡敢㈲㜵㈸敦㤲㐸㙢㘲挵扣昰愲挶挸捥㉥㠸㤹㈷〴㝤㕣散㐹㉤戵㙤㜱㥣㌰ㄲ慤㉤㡤㙥㐹㐵摤㔲㥥慤敢㘶戴搴㐵㜰挱㥥挳㈳愰〲搹搹㑡〵昶昱扢㔰愳摥㜸愱㔴㠴愳㡡㜷㐵㥤昷㜶㌷扢㐲捣ㄲ㌰ㄳ愸㙦㡣戰㑤㘶敤搹㠱㌲搱㑢㌵㠳㌳〳ㅤ㌶㜱搵㡢攸㐱㤹搱㔲挶㔴捤晤愲攰慣慣ㅥ㤶昵ㄳ㤷攲晡㘶ち㈶慤㡤㤱搶㜶搷散ㄴ㡢慦㌷㠰攴敥㡦摥㥣搱㝢㌹㐰愸攵㙡㐵敥戲㔸㕤愲㈱搸㄰㠹搵㌷㈴挰挳扡㕥㕥ㅥ㕤㥢㜶攸㍢挱搲㜷㤱摣つㄲち〵㜴㉤晥〷㐳晡㕥㌳㥡扢〷晥敦昸㜲㑢ㄶ㔲㘹㔹摥挱㕡㕣㍣户〹搷攸昱散㙣㍦㈳愷㠴攳つ〹戶捥㜶㠵㕣㔸搱昷㤱摣て㤲换㈵㤰づ㔷㜳㌸㔹捣攱愲㔵搷愶慡㐸㌴㡣愵㐲改摣㉡㥣摢㘴慥㍥㔵㐵攲戵㥡换㔴㔳搱㔵㤶〷ㄱ㐲摦敦搲挴挶ㅦ㔹㥥愸ち㈷挲㥤㥡戰攰㠵㑡搲〰つ㤱㔴㘶㠸㈹扢ち捦㑥ㅤ戲㘲搰㘰㐸搰愱愵戳㌰㑣㑤攸㌷攸㉥㠱㙣㡢戶㙦〴捡摥ㄷ㐶〴扤敤摣扤㜰㠵昵戴扡挹㤱收㜹㉢㤶㐴攲㠴攷〵摢㜵愵户㜷㔱搹慣摡㐵昳ㄳ戱挶㜸㈱㑡㍡戹戵愵㙤挹捦愹㠷扡昴〳㈰昶㤱㍢〱㡤㜸晢㙤㠲扢〲㥤㤶戲㙥㙡㙡〲㜹搴㐶㡥㉥㈰㘱㘳㠵戲ㅦ昱㑦づ晤㌰晥㠵摡㤳攵づ〰㘲㐷ㄶ昹㌸挱敥搲〴て㘱㍡㈴换㤶㜹ㄲ㠱户扢㌶㉤㙣㘹㕤扣〸搷㠹㙣㑦摤㈴ㄶ㙦㠸㐴ㄲ㕣ち散㙣㉤㝤捡ㄲ愷㔲搹搹慥㜵㍡挷㥡攱㙥搰ㅦ㝣っ愴㙢㐵㘳㘳㠱慤㌱ㅥ㝣ㅣ慣㙣㉣㑡〶㥦㐰愰㜰㝡㘵〵搷晦ㅣ㤳挳昸戰㠲捡㔶㉣昴㘳㐶㌲㈱摣搸㌸慣㘰改㠸挲攲㤲扡挲攵㡤昱攵㙡っ㝣挲㔵戵㉤扤扦慥晢摢挴㕢㘶㕤晡慦戵捦晣昰挲〷慤㙡戴㈵㐸㕢敥ㅢ㠸㕣㜸敡搶ㅢ㐱搴㐸挰㌸搴㈰散㍥昴㈶挴昵搳㈴捦㠰㌸〶㡣攷捣愸摡ぢ晦㌹㘸攸攷㐹㕥〰㔱㠳㐰晡㌳昶㈲㠸㝤愸愱搰捦㤶㈰戵戹㌷搸改戵昹㉡戸㈱摤㡥㑣つ〶㠲㌵慡改㐱㑤㥦㘹晡㑢つ㠰㘲㕦〷昴户〴㘹敢㡤㐳㤰慣㥤㜹㡢㙢㠹㡦搳㝥搷扣愵㑢㜴㔲慣ㄱㄷ㔶㜲㙡捡㡦攲㥦戹捡㉥昱慥㍣ㅤ㘳㠱捤㕣扦敥ㄹ慤挴ㄹㄹ换晡㠹ㄵ愹㌹㑡摡㡣挰㍣㘱晥摦扣攷㔷㌷敦㤱㔹㡦㙢敥搳捥扣〲㡤挶㌳昳㘹ㅦ散㘸㐴㍣攵晢づ㔳搲愴ち愱搹摤挸㠸昷㡥愹㜲敦㈲㠹㜷㌶㐲愲㡢㌲捦㠷搸搸搳ㅢ㈹ㄳ㘵㥣㝢晣摦捣捤敦㙥慢㌹㜳㝢ㄷ㡥搳㥢㐹摥㈳搹㐲昲㍥㠸敡㡢挱㠸挳㉣慦攱愷㘲ㅣ㝣ㄴ昳愶㉤㌲ㅥ㝥㐸捣㐷㈴㝦〷㜱っ戳㥦㈰ㅡ晣ㄴ㈴摦扥敦㔱㘰㌶戱㔰㐰つ〵㕢㠶摥捦㄰搰晦〰改昲㌹挸捣㈹㤱㐶㕣〵晣㕣㌷㍣㜳ぢ愱戳晤㠹ぢ摡て㤷㡢㜶㙥慡㕥搱㕣摢搰摡搲㡣晢捣㥣㑦㔵搴攲㡥㘱㕣㠵㠳㑤搳㕢㉡摢ㄲ挱愶㈹㌱晣敢搲㌴㌷戲〴ㄷ昹㤵戸捡挳㘴㙤㍡㉥晢㘵㉡㌶戵㙥昹晦捦愹㕡㠰搳㘹㕣㐰愷㘶㙢捡摢㝢捤㐹㤳攵摥挲慡ㄶ摣㝤㡥挸㥤㜶扡㍤ㄸ挴慣晢㔷㌸ㄷぢ攸㝦愲㜴敢扦晣挳扥〳㉦扢攵㐷敢晦㑡戴㐲㌹昴㌰〸搳捦挴晦〲㌷搴㥥㑣つ〷㈲㜹㈶づ㝥㠳㔸㌶㥡㠱㜹㌶敥〴搵扥㘷攳愰㈵㐸扢㤵㔴㠲昴㌲ㅤ搹㠶㠰捡〱捣㝦㍡昲㍤挴晡〷ㄲ捥㔵ㅣ晤㠴昵㠶愸㉡〵㕢晡㐴ㄶㄸ㍡ㅢ㐴㡤〴慢㍦㤳挸㙥〹〴㜸愸㙤㍦㌸愶㈳㈳挰㐹㜷㐲ㅥ㜵敡㜶㘴㙡ㄴ搲㈵㥤攰㤸㡥㝣〹攵扥づ昸挲ㄲ愴摤挳攲慤㈸㜱㐰㜷ㄶ昹㜳挰晣ㅤ搰〳㘲摤㤳愴ㄷ㑢㤷扡㠰摢挵㡣慡㜱㔰㈴づ攸㑤㔰ㅦ㄰戵ㅦ㔸晤昱搵扢㈲㘶ㅦ敡〳愷〳昶愵㌸㙤㜶摤て昸㤰㙥㐷愶挶㈳㥤㥦〳摥挸攴㠰扦㔹㠲戴扢㘷攵搰㈴づ搸㥢㐵㝥㉤愳〳〶㐳慣昷㈱ㄹ挲搲愵ㅣ㌰捣㡣慡ち㈸ㄲ〷ㄴㄲ㌴ㅣ㐴㔵㠲搵ㅦ㕦㕤㠴㤸㝤愸㘷㥤づ㤸㐰㜱㥡〳㐶〰ㅦ搲敤挸㔴ㄵ搲昹㌹攰戱㑣づ㜸搴ㄲ愴摤慤㥢っ㑤攲㠰昱㉣昲㈳ㄹㅤ㔰〶戱㉥㈷愹㘰改㔲づ愸㌴愳㙡ちㄴ㠹〳慡〸㥡〸愲愶㠱搵ㅦ㕦㍤〹㌱晢㔰昷㌸ㅤ㌰㤵攲㌴〷㑣〳㍥愴摢㤱愹晤㤱捥捦〱户㘴㜲挰捤㤶㈰敤㜶攱㑣㘸ㄲ〷㔴戳挸㌷㘶㜴挰㝣㠸昵〲㤲㠵㉣㕤捡〱〷㥡㔱㌵ぢ㡡挴〱〷ㄱ㜴㌰㠸㥡〳㔶㝦㝣昵㈱㠸搹㠷扡摡改㠰搹ㄴ愷㌹攰㜰攰㐳扡ㅤ㤹㥡㡢㜴㝥づ㔸㤷挹〱ㄷ㔹㠲戴晢㤴昳愰㠹㤷㈵㍡㠶㑣昵ㄱ㈴㡢㐹ㅡ㐹㥡㐰搴㌹㤶㔳㕥㐷愴㘷㤶㜳〲搱㐲捣ㄲ㤲㈳㐱ㅣ㑥㠹㤳挷〹〴〶挷昹昸㈷㡥㘹㈳㜳㈹㠸㕡〸ㄶ㑦昰戸㍦㠵㘸挶戳挴〲㈲搲㥣㜳ㄴ㤲㠴㜴㍢㌲㜵〰搲愵㥣挳戳㠴㜹㠶㔸㤹挹㌹挷㔹㠲戴㥢慢〷㈳慤戴㡥㔵㉣昶㌱㤶㈳挰㜴ㅦ晡㐴㠸昵㐹㈴㙢㔸扡㔴敢㌸挵㡣慡㐳㤰㐰㥣㜰㉡㐱㙢㐱搴㘱㘰昵挷㔷㥦㠶㤸㝤愸㌸昲㐸㕥戰ㅥ㑡㜱㥡〳捥〲㍥愴摢㤱愹ㅡ愴㑢㌹㈰㜵挱ㅡ换攴㠰〶㑢㤰㜶㐷㌷っ㑤搲㍡搶㈱㔳㝤㌱挹㈵㈴㤷㤲㕣〶愲ㄶ㔹㑥昹づ㐸㝥㔳搳换昵挴㕣㐱㜲㈵㠸挳㈹㔷㤳㘷戵㡥㐵㐸㈲㡥昹㍤㤹搷㠲愸㍡戰捣搶㜱ㅤ愲ㄹ㕢〷晤㤲敥㥣ㅢ㤰㈴㈴散っ㌲ㄵ㐱扡㤴㜳㔲慤㘳㑥㈶攷捣戶〴㘹㜷慣ㅢ愰㐹㕡挷㙤㉣昶㑣换ㄱ㘰扡て㝤㍢挴㝡〳挹ㅤ㉣㕤慡㜵摣㘵㐶㔵っ〹挴〹㜷ㄳ㜴て㠸㕡っ㔶㝦㝣昵扤㠸搹㠷㥡㠸㍣㤲慤攳〸㡡搳㕡挷㥦㠱て改㜶㘴慡ㄱ改㔲づ㐸戵㡥㝤㌳㌹㘰㥣㈵㐸扢㔵摥〲㑤攲㠰㈷㔸攴㌱ㄹㅤ昰ㄴ挴㝡㈳挹㕦㔹扡㤴〳㥥㌶愳㙡〹ㄴ㠹〳㥥㈱攸㔹㄰搵ち㔶㝦㝣昵㜳㠸搹㠷ㅡ敥㜴挰㤱ㄴ愷㌹攰㈵攰㐳扡ㅤ㤹㡡㈳㥤㥦〳〶㘶㜲挰㥥㤶㈰敤ㅥ晤㔲㘸ㄲ〷扣挵㈲て挸攸㠰㜷㈰搶敦㤲㙣㘶改㔲づ搸㘲㐶搵㌲㈸ㄲ〷扣㑦搰〷㈰㡡㌷攷晢攳慢㍦㐴捣㍥㔴ㅦ愷〳㤶㔳㥣收㠰㑦㠰て改㜶㘴敡㈸愴昳㜳㐰㝥㈶〷㜴戳〴㘹扢〳㡥㠱㈶ㄹㅦ扥㐲愶晡㙢㤲㝦㤳晣㠷攴ㅢ㄰㤵㘷㌹㈵ㅦ㤱㝦〳㥤ㅡㅦ戶ㄲ昳ㅤ挹㌶㄰㠷㔳扥㈷捦ㅡㅦ㡥㐵ㄲ㜱っ㤷昰㜴㈰ぢㅡ㔷㠲㘵㡥てち搱㡣攳挳㜱㠰愵㍢㈷〷㐹㐲扡ㅤ㤹㍡ㅥ改㔲捥㐹㡤て晦晥㍥挳昴晡㙢㑢㤰戶㥢㘱ㄵ㌴㐹敢攸捡㘲晦ぢ㌰晦改㜵㍥挴㥡晢愰㜵㜷㄰㠷㈳㝡㤸㔱戵ㅡ㡡挴〹㍣晤敡㕥㈰敡㈴戰晡攳慢㜷㐶捣㍥搴挷挸㈳㌹㍥㥣㐸㜱㕡敢搸㤵㍡㜵㍢㌲戵〶改〶㌰敤㘳㈴愹昱攱㥤㑣づ㜸摢ㄲ愴㙤愲㌸ㄵち挴〱扦㘱㤱摦捣攸㠰㠱㄰敢扤㐸昶〶㜱㌸㘰戰ㄹ㔵㙢愱㐸ㅣ戰て㐱㐳㐰搴改㘰㠹〳㠶㈲㘶ㅦ敡㐵愷〳㑥〳㍢摤〱㐵搴愹摢㤱愹㌳㤰㙥〰搳㝡ㅣ昰㔴㈶〷㍣㘹〹搲戶㙥㥣つ㉤攲㠰戱㉣昲攳ㄹㅤ戰㉦挴㝡㍦㤲昱㈰づ〷㤴㤹㔱㜵づㄴ㠹〳捡〹慡〰㔱攷㠱㈵づ㤸㠰㤸㝤愸〷㥣づ㌸ㄷ散㜴〷㑣愲㑥摤㡥㑣㥤㡦㜴〳㤸搶攳㠰摢㌳㌹攰㑦㤶㈰㙤攳挸㐵搰㈲づ㤸挵㈲摦㥡搱〱㜳㈰搶㜳㐹慡㐱ㅣづ㤸㙦㐶ㄵ㌷㡦㠸〳ㄶ㄰戴㄰㐴㕤〲㤶㌸攰〰挴散㐳㕤攷㜴挰挵㘰愷㍢攰㄰敡搴敤挸搴愵㐸㌷㠰㘹㍤づ戸㉣㤳〳㉥戵〴㘹㕢㔵搶㐳㡢㌸㈰挲㈲㕦㥣搱〱昵㄰敢〶㤲ㄸ㠸挳〱㡢捤愸扡〲㡡挴〱㡤〴㌵㠱愸慢挰ㄲ〷㌴㈳㘶ㅦ敡㙣愷〳慥〴㍢摤〱慤挰㠷㜴㍢㌲㜵㌵搲つ㘰㕡㡦〳搶㘴㜲挰㐹㤶㈰㙤慦捣戵搰㈲づ㌸ㅡ㤹慡搵ㄹㅤ㜰㉣挴晡㌸㤲㤵㈰づ〷晣捥㡣慡敢愰㐸ㅣ㜰〲㐱慢㐰搴つ㘰㠹〳㔶㈳㘶ㅦ敡㘸愷〳慥〷㍢摤〱㈷㔳愷㙥㐷愶晥㠰㜴〳㤸搶攳㠰㈳㌳㌹㘰㠹㈵㐸摢㡣㜳ㄳ戴㠸〳捥㘶㤱㥢㌳㍡攰㕣㠸昵㜹㈴攷㠳㌸ㅣ㜰愱ㄹ㔵㌷㐳㤱㌸攰㈲㠲搶㠱愸㕢挱ㄲ〷㕣㡣㤸㝤愸㠸搳〱户㠰㥤敥㠰换愹㔳户㈳㔳户㈱摤〰愶昵㌸攰攰㑣づ㌸挸ㄲ㜸昷〰攵㙥㠰㤶ㅤ搸扢搱㤹㤹㐶ㄷ挴㈲换㜸户戹㕢ㄴ㑦㜳㔴戶㘱㜷戶摣ㅡ敦ㅡ慤㙡㤹搹㤲愸㡡挵㤷㌴㠶㔷昴㠸㕡㠱㠵つ㤱㘶散㕢㘹挵昶ㄵて慦㘵挹㤲㐸㥤㡥㔶户戴戵搶㐶愶㔶晤ㅡ昶戵挰㍥㔴㥤㙣㘹挹㔲㌸㝥摡㔶㡤〰㔲愲㤵攰〸攴摥〹㠵摥㕢敥㡥晢㌲愹㕢㠰〶㠰昹㈹㡦捥㡢㈵ㅡ㈳㥤愳㈲㤷㜰㕥ㄴ㕥挴㘶愰扡㑥搱㜹つ戸ㄵ㕤搵㌵㍡戹㌵㔶挷㝤昳慣っ摣㔶攴㈳㌲搳㈳昵搸昸㌳扢㈵ㅥ攳戳㈵㕤愳收捥㍡㙥㘲愸㕤戱㤳㉢㈶㑢散戹搱〹戱收㌸戲㤱㕡㘴㌸㍦㕡摤搰戲っ㡦㡥戵㌵㌵㑦づ㉦㠹晦㉡㙡㐵戱㕡攴㤰慡㔱㔹㉡㉢㑢攵㘵攵晤搴晡〹㕥㠷㍥戶㌳㌶摦㌵换㌳㍡搸扦ㄷ挷〳㌷㡢摡攸㌳挹㠶换捦㌹㈴㔲㡤㠱摣扢㄰㙡攷敥ㅡ敦戱㔹㍢戲戸摢㠸挵㜵㍤㠲攲扢昳㈵昹㐸摥慥㠰敢敢㔱愲㉥㌷㠰㑣㥢㍣㝦㙡㙡ㅦ摥晦昴戸㕢敥摤搰散扤㘷攱㙤㝣挹㙤㑦扤〰敥㘶戶㈲昲搸愸搰㌹搱ㄸㄸ昳戶捣㔰㔴㌰㙣愴摤㔲挱㐹搸㍡搳㈵㍡㍤扣㈸搲㠸扢㔳㑤攱㐴㌷㌳挲㍢㡤㜸ㄶ㉡㙥挹㉡㕢㥡㥡挲㙣㜵㙣戱搵戵攱挶㐸㕥戴愲㉤搱㠲㈷㐵㜴ㄴ㐴㥡愶挵ち㉦〷㉢扣㕣㔸㕤愲㜳戹ㄱ㔰挲搴搵㔲ㅦ㙥㡤㈵ㅡ㥡㘲戵㜹㡣㜰戳摥慦愲戹㘲〸挹㠱㌳敤挳ㅥ㑥扣昷捣捣扢㐷愸敥㐲摣挱愳敢㔸晤㘸搴㔹㉡㠸㍦昵ㄳ昷㠹㘱昰㤱㜳㡡晥㈳戴攵攲㉢愳㤱㤴攵ぢ㕥愸昱昸㘲㈵〲㌲㍥愹㝢ㄱ㈵㔷摦〸㈸〳晣收摣〷搲敥㉥愲㑥〰㠴愶户㠴敢㈶㘱㕦㐳㑢㙢㈷敢昱捣㍣㔴敤ㄲ㡣㌶慤〶昷㜵㔵㘲愷㈰㜶㈰㉥㡤搵㐵㕡昳挸愸挶㝤挰ㅣ敥〸ぢ㥡㜵㠸㝢㐴搹㠱摣摣捥㜹㝥㜹㑤戵㜵敤㘹敤㤶㜱㍥捦㍡㌵㑤晦㘷㜳挶㤴愱㔰㌰㑢捥㔲㌷挱ㅣ㝤㌳㙤扡ㅦ㑣摡攳〱摣㐲挰慤㈰戹て㐰攸慤ㅢ昷ㄶ㉢㙣挴搲〰攵㜰㥦㑦づ㌷㝦攵㘱愳㤴散ㅡ换ㄵ㐳㍡㍢㜶㝢〵捤㡤㕥㜹昶搳㤲挱㙡戴昲㐸㕤挸ㅣ㘲㜹ㄷㄴ㈷㠷㐰㔶㔶づ慡㍡攸摤㜰㤲㤶㉤㤴㌵㔵㐷㘴ㅢ㤸敡㡢㈲〴㙦㐳㠹扢戰戳㐰㝦㑤㔵㐹昱搸戴〹㐴㈸愴㙦〷㈸㄰㔲て㠳摡㤶昳昴㘲戹㘶〳㉤扦〳㐴㙤〴㤳㔳〰挷〹㑢㙤㐲㤴㈷慤㐰昰㑥㐰㜶㘰㤰㔴㑦㈳ㄱ〷㑡㝤ㄷ㜵㍦㠳㄰挷㥦㘴㝢扣〷摣㡥摢攳㜳㑣㠱慦扥㤷㑡慣㠸㝡ㅥ〱摢ㄲ〴㙤㑢敥〳㐶摦㑦攰ぢ晥㠰〷〸昸㌳〱㉦〲挰㡡づ㍥㠸㔸扥敤挰㘲㍣㔷㌹㙥攴㌸㍦ㅦ㍥っㅣ㝣昸慡㐳昱ㄸ㜲捣收昵〸ㄵ晦〵㈴昷㕤㌰摢ㄹ㘳㜱て搴戱〵愴ㅢ挰挱㈸㜶挵㈷㌰晣戱㄰㤳㘲〹㔴㘴㤷㈸〸㠲戲㔷㘳㔷ㄹㄶㅤ㠹㠶㈴㘷㕣㝢愴㡢㕣㔳戰㝥改㜲攷㥣㙣㑦ㅦ戱㌹㕢㜳㑣搲㍡〲挹慣捤愷㡣扦愶㘹㥣㌲敦摤㕢㌳㌹㌵㌰昳㑥ㄷ愷摦㔱㌷晦挳愴㉦挸搵戳㕣㍣ㅤ㌸㜹㥡搲㡦㈱㡣搶换㔹愰㝥ㅣ㘱捥〴㌷㜷搸㔰ㅣ摢㝦㌸㠶㠵㌸ㅢ㌴㜹㕤慤晤㘵㔳㥢攳ㄸ㑣㐳㔶っ愷捡㙥㔶㜰㔶㕢挲㈵〹㉦敦㘱㐹戰慢㜰㔶㌳㈶㌸戵攱搶扡㕦挹搹ㄱ戶㤹昳㌸㌹搱晤挴㌹㌶㤴昰㜰㥣搳㜰搵昴㠴攵敢昷㈰搹㤱摤㔳昹挰㜷愵扢㤳㥢慡昲ㄸ攳戳摢㔲ぢ收愳摢㜲挱㌳㍢㠲慢ㄵ㍣捤摥ㄸ改㈱〹㤲㔱㌹ㄳ攸㘸挵愲㌸㈶捦〹㑥㡢慣㤰㜴㜷ㅤ㥤ㅢ㘹挴〳摦㑢㈳㤸挵㔸愱搹戵〹散ㄵ㑣㉡攰敥晥㕦㑦つ挱㈳㌹㔶㉤㈹愹愷㘰㍢愳㥣摢〸㑥㘸㝦㘲慤㘲挴㡦捡昱㜹㤹扡㜸ㅤ㡦ㅢ捡〲㜶挰扡愴摡〲昵敤㑣挶㌱攲㍡户扡戱㈷昵戰㜷㘰㥡攳㥣っ㘱㕤㙣ㅥ㘷散㕤㜹㜱搵㥡挰㈳㌰㝣㡡㍣㥦㕤愷ㄱ㔳㥡㐴っ㤳搳挶ㄵ摤愲㔳㥢㙢ㅢ摢敡㈲㌲戳戵㐷㙥㤹攰晥㉡敡㑢昶戱㤸㜵搵㡥㕦㉣愷㑣挵慢㍦散㐷㈲㝥晡ㄵ慥㝥ㄲ㍤㑤㑥㥢搰ㄱ搲ㅢ慤㝥昷㍥㥣扤挳晢ち㐳㐸戴㔳㙡㔷慣扣ㅦ〲㐳㕢ㅡ㡢㘳ㅡ㌷㠷㈵户㈶㑡㡦㜳挰愶户攰㌹㍦㕣㈱㍢㔸㔳㘲㈶敢㔷㔱㑦戰搳ㅣ昸㠲㐱捣敦㝦㘲て愱ㄲ㡣㝡昲てㄳ㜹敢㍦愶扥收㝣晥㐳㌰捣改摢㕦㔱㈷扢摢㝢挶㝤ㅦ敥〷㌴㍢挰慢摣慣搴愵慥晡〸㜱㤹挵㙤㐲㝡昵㜷挴捣㔹㕣㐰昳〴愷㥦〱㘹㜷ㄶ愷㥦〵〲攷㍢昵〹㤲捡㑣敥㌹㉡戲㈲敡㌳〴㝣㘶㜲捦㔳昷ぢ〴晥挳ㅦ昰㈲〱㉦㠱攴晥ㄳ〰敦㔰㤴㜱㈳㕥㌶挰戹㑤㥣㜵攷㌵昱敡〳ㅤ㌹㠸㈷㍣戰搱㄰㔷㌰挱捥㜹㥦㐳慥㕦㠶摡愷㌷㙤ㅡ㡦㌰敥〵㠱搸〵ㅣ㠱戰㌵攱㝢㠵昹扦ち愲戶㠱改㥤㌴㝦て㥥改昵搷〰改㘹㍤昶搸攱扡㠲晡〱改挴搹慦㔳㌳㉢搵㌵㘵㝥〳摣㜶㥤捤㈵㈶㉥㌶㤹㡥㝥㤳㑡愰㐳扥摣敦㘶摢〱㥥㙤挷㕢挰攸户〹捣昶〷扣㐳挰扢〴㜰㔸㤱㈹昳㘶戲散㈹㜳㤳摦㘴㜹ぢ㄰㤸㉣㜳㠳㥣㥤攷散㔴㥥敦㌳晤〷㔴挹捤㙣㕥摦昵〰捦昴摤㠷㠰散挸〵㐷㑦愴ㄴ敦㝤㐴摤扤㄰㜳㜹敦㘳㜰㍢昶摥㉥㐸㠶㑦㐰㝦㐲㈵〸挸㤷㥢攵㙣㑢挰戳扤昷㈹㌰晡㌳〲晢昸〳晥㐱挰攷〴散ち㠰㜸敦㥦㠸㜵戵扤㠷ぢ㡥㠵つ㝥ㅥ晣ㄲ㈸㜸㤰㍢散散㝣ㅤ㤷㙣晦愲摡慦愸㜶㙦〰扣ㅥㅣっ㥥改挱慦〱搹ㄱて敥㠳㤴攲挱㝦㔳㌷㌷搰戹㍣昸つ戸ㅤ㝢㤰ㅢ敤昰〹攸㙦愹〴〱昹㜲户㥤㙤〹㜸戶〷户〲愳扦㈳㤰㍢昱㝣〰摢〸昸㉦〱摣㥣㈷ㅥ晣ㅥ戱攴㌵敦挴㤲攲㔲㍦〷晥〸㄰ㅣ㌸挲愱㤵㑢晢㔶昷攵㌳户㕡㠱㈸敥愶昳㍡戰っ㍣搳㠱㔹㠰散㠸〳换㤱㔲ㅣ㠸㠵㡣㠰慡㐰捣攵㐰扥㜳愹㘳〷㔶㈲ㄹ㍥㜸慦ㄶ㤵㈰㈰㕦敥搶昳昱㑦㈷㘰㜴ㅥ㠱摣挹攷〳攰换扡㜴㠸〰㙥敥ㄳ〷㜶㐶㙣㈷扢〹㑥㤷㔷㠶戴攱ㅡ搴捦㡤㕤〱㠵ㅢ愷㌹㜴㍢摣搸㡤扡昳愹扢ㅡ〰慦ㅢ攷㠳㘷扡搱〰㘴㐷摣挸摤㝢攲挶敥搴扤㄰㌱㤷ㅢ㝢㠰摢戱ㅢて㐴㌲㝣戰ㅤ㤶㑡㙣㌷ㅥ㠴㤰㡦㤷㝡〱愳㜷㈶㤰晢〱㝤〰扢㄰搰㥢〰㙥ㄱㄴ㌷昶㐱捣搹づ㡢晤ㅣ搸ㄷ㈰㌸昰㜰㠷㔶㠷〳㜷愳搶摤愹㌵〶挰扢㠰〶晢㈱ㄶ㕡㕣㡦㌳戵扣㕡㐴改㍤愸挱扡㜸㉣愰㄰㘳晣ㄱ㐰㙦〶摢㍥摣㤷㍤晤㉤ㄴ㜷〷扥㐷〸晥㜷㌴㡤㔶摣㐵戸㠵㘰㍤〰挹挵ㄴ㤹换敤㘹㈹攳〶㐳捥攷捣㈳昳㡣㠳㍢つ捤㕡ㅦ㠸㤴晤㔲㌳づ敢㈵㉡㡤捥户愸㐰㔹晡㤴㠳摢ㄴ愵昶昷㠲〲挵晤㡡㘶敤〷㌴㝤愳〷㠱戴㕢晢㝡㌰㄰昴㔲ㅣ㐹昱挱㝥㘰㉡㐲㐰扥㙤愰㍥ㄵ㍣㠴扡㠷ㄲ挸㡤㡦㍥㠰㘱〴ㄴㄲ戰っ〰㑥㍢昴㜰挴㤲㌳㠵愳ㅣ挹㡡㈰戵㠶㥡㈲㈶㉢㘶戲㔵〰㜸晢〸户㈳㥡摥㉡〱㘴㐷晡〸昷㌰㡡㤷㑡愹㝢つ㘲慥㍥㌲ㄲ摣㜶扤㈴㜳㠵㔳㤰っㅦ扣㐲㠹㑡㙣て㥤㡡㤰㡦〳㐶〳愳挷㄰挸㕤㤱㍥㠰戱〴㡣㈳㠰ㅢ㈵愵㡦散㡢㤸愳㡦ㄴ㡤昶敢㈳攳〱㐲ㅦ攱㙥㐹㕢慢愳㡦晣㤶㕡换愸㜵ㅤ〰敦戲戴戵㈰㤸㠲㌰㤹搵㌱㈶㈰捣㉡扦ㄸ㤰捤㤴㕡㠷扢㘳㔴㕡㈸㙥㡣摣敥㡥挱つ㤴㕢愸㑥㔷㈱㜹慡㘳㑣戲㤴㜱㙦攵昶㜴㡣昵挰㐹㔵㥢挵愷㐶敦㘴晢ち㐰愴㑥愷㐰户扡ㄲ㌱扢攵搷㌲晦㘹攰戶㕢愷㝡㝦慢㑣㔷㈳㈹㍥〱㍤㥤㡡㄰㤰㉦㌷㙥摡づ〶捦㙥愱㌳㠰搱㌳〹攴愶㑥ㅦ挰㉣〲㘶ㄳ㜰ㅤ〰搲昲攷㈰㤶㙣昹㌷㌸㤲㜵㐹改㥤换㘴搵㑣挶㕤㤷摥㤶㝦㍢㜸㘶换㥦〷挸昶捦㤱㌷㈰㥤昸㘸㍥㌵摦㠱㤸慢摤㉦〴户㕤ㅦ㐹扢扦ぢ挹昰挱㉢㥢愸〴〱昹㜲㑦愷㙤扥㑣ㅦ捣挵摤〳㠱搱〷ㄱ㜸㡦㍦攰㘰〲づ㈱攰㕥〰愴摤ㅦ㡡㔸㜲㤶户戸㘹摣㈸摦㐵攵ㅡ愰搰昰戹ㄱ搴捥㜷㘶捡㝦㠷㔳㙤㤸㙡㥦〰挰敢扦愷挰㌳晤户〸㤰㕤㔲㉦㥢改昸㌲㘳㈳㤲㡡ぢ㙢愹㥣ㅢ㍤㕤㉥㡣㠰摢戱ぢ戹㈱ㄴㅦ㙣〰愰ㄲ摢㠵摣ㄵ㙡㥢〲㥥摤挴敡㠱搱つ〴㜲挷愸て㈰㐶挰ㄱ〴㜰ㄳ愹戸㜰㌱㘲㥤敤㔹㑡搵㠸㌱搲㙤昸㔰ㄲ昵昲挰㘲㙡ㄳ㌰㜰攰㑢づ愵づ〷㌶㔳㘹ぢ㤵㜲搳愷搷㠱敦㠰㘷㍡㜰〹㈰㍢㌲昴扥㡢㤴攲扦㈳愹㝢㌳㘲㉥晦挵挱敤搸㝦㕢㤰っ㥦㠰收㍢㔸ㄹ㤰㉦㌷㤵晡戸愷つㄸ扤㤴㐰㙥㌸昵〱㉣㈳㘰㌹〱摣㠳㉡晥㕢㠱㤸㜳攸昵扤㌵㜴㌴㐰㜰攰㈷づ慤㡥愱昷ㄸ㙡㍤㤶㕡扦〲攰㕤㐰㠳挷㈱㤶挳搷㐴㈹扤㤲㘹慤昱昷㜸㠴㌹晥㝥つ摣㘶戰敤挳㍤晥晥捥㐲晤ㅢ愸敤ㅥ㝦戹㐱㜵ぢ昵改ㄳ㤰㕣㕡㠱㑣㑣㔶㕢捡扥㠱㝣㝢挶摦慤挰㤹昵㝤㈲㔲づ㑡㑤㑣ㄶ挹㝢づ㜱捦捥昷慤㔸挸㌸㝤㡡昲ㅤ㜴㐹ぢ㌸〹慡ㄴ㌷挵摡〳㌵晤愳㑦〶㘹户〵攸㔳㠰愰扦戸㠱ㄶ㥦㠰㍥㤵㡡㄰㤰敦㡦愰㍥㤵扣㤶扡㑦ㄳ㈰㠶㈷ㅦ挰改〴㥣㐱㠰〲㐰〶敡㌳ㄱ㑢づ搴㌹㡥㘴扤㤱㤹㌵㐵㌹㡢挹捥㘶㌲㙥㝦昵昶㤳㝣昰㑣扦㥤〳挸㡥昴ㄳ㙥㤴ㄵ㉦㥤㑢摤摤ㄱ㜳昵㤳昳挱㙤搷㑢㌲㔴昷㐰㌲昱搰〵㔴㘲㝢愸㈷戸㍥づ戸㄰ㄸ㝤ㄱ㠱扤晣〱敢〸戸㤸〰敥挶㤵㝥㜲〹㘲挹㜱愶㘰搸㌰扦㜱收㌲㘰搰㑤戸㈳搷捥戵㈰攵扦换愹㜴㍤㤵㜲昷慣搷㝦〳挱㌳晤㜷〵㈰㍢攲㍦敥戳ㄵ晦㕤㐹摤㝢㈳收昲摦搵攰㜶散扦挱㐸㈶晥扢㠶㑡㙣晦㜱㜷慥㙤〹㜸㜶㑢昸㍤㌰晡㕡〲㠷昸〳慥㈳攰㝡〲㠶〲㈰晥扢〱㌱攷㌸攳㍢㔰晦ㄱ㈰㌸㤰㍢㝡敤㙣ㅤ攳捣㡤搴㝡ㄳ戵㡥〵挰敢挰㝤挱㌳ㅤ㜸㌳㈰㍢㜴愶摢て㐹挵㠳户㔰昹㜸挴㕣ㅥ扣つ摣㡥㍤㔸㠶㘴攲挱㍦㔱㠹敤㐱㙥敦戵㑤㜱㜸昰㜶㘰昴〶〲㉢晣〱㜷㄰㜰㈷〱摣つ㉣ㅥ扣㡢㉣晢㑣㌷搰慦晤摤〳〴摣挷晤挰㜶㥥㡥昳摣扤㑣㝦ㅦ㔵捥〲挰敢扥㌹攰㤹敥扢ㅦ㤰ㅤ㘹㝦摣攵㉢摥㝢㠰扡慢ㄱ㜳㜹敦㐱㜰㍢昶摥㝣㈴ㄳ敦㍤㐴㈵戶昷戸㌷搸戶挴攱扤㠷㠱搱㡦㄰戸搰ㅦ昰ㄷ〲ㅥ㈵㠰㕢㠹挵㝢㡦㈱收㘸㝦晥㕢㈰㥥〰〸づ㍣挴愱搵搱晥㥥愴搶愷愸㌵〲㠰搷㠱昵攰㤹づ摣〸挸昶捦㔴戹㐷㔸摣昷㔷㙡㡥㈱收㜲摦搳攰㜶散扥挵㐸㈶敥㝢㠶㑡㙣昷㌵㠲敢攳扥㘷㠱搱捦ㄱ挸㕤挷㍥㠰攷〹㜸㠱〰㙥㐴ㄶ昷扤㠸㤸㜳愶敡扦晤攱㘵愰攰㍦㙥㐷戶搵㍡ㅡ攰㉢㔴晢㉡搵ㅥつ㠰搷㝦挷㠲㘷晡敦㌵㐰㜶愴〱㜲㤳戱㜸昰㜵敡㕥㠹㤸换㠳㙦㠰摢戱〷㝦㠷㘴攲挱㌷愹挴昶㈰户㈶摢㤶㠰㘷て㠰㙦〱愳摦㈶㤰摢㤶㝤〰敦㄰昰㉥〱慢〱㄰て㙥㐶捣搹〰㐷晡昵攰㉤〰挱㠱摣捥㙣㙢㜵㌴挰昷愹昵〳㙡㍤ㅢ〰慦〳捦〵捦㜴攰㠷㠰散㠸〳捦㐳㑡㜱攰㐷搴㝤㍥㘲㉥〷㝥っ㙥挷づ扣㄰挹挴㠱㥦㔰㠹敤㐰㙥㙤戶㉤㜱㌸昰㔳㘰昴㘷〴慥昳〷晣㠳㠰捦〹攰㑥㘸㜱攰㍦ㄱ㜳㍡戰挴捦㠱㕦〲〴〷㜲㍢戴㥤慤挳㠱晦愲搶慦愸㤵㍢㈷愵戴㕦㌳㠶㌴㑣㤷晢㐷㜰扤㥢扡搲㌶摣攵㌰㠷㈸户摥㔵㈷㔶㌴㘲扢㈳㠳摣攴㘵㠶㜸挳挸ㄴ㘳敢㔹㑢㉢敥㠷攴㜸摦㝦㤲㑣㝢㍢㔴㜵敥改㜹慦㥤㈴愳㠴㍢晢㜲㍢晦㌷晤摤㙤挹昴㉣㜸敡㉤㔷㑣挳㈳昸ㅦㄸ搳㜳㐶慣戶戵㈵摥ㄲ㑤昰ㄵ挷昱〲扥㈷㌰㡡晢慣ㄵ戹ㅡㅡ㝤昳愴㘱㌹捤㝣挷晥㔲扥㌸㉢戴戸戹㘵㔹戳㤴㈶㌷捥搷㈵㡡扦㍡㜵㘲㌶扣晢㉡挷㙦攰㍣攳㐶ㄴ㤴㠹昵户挸戸㙢戶挱㙤㜴㍣っ㙥愵㤳挰㉤㜶㠰㝢攷㜸攴摥㡥挰昶㙥㘴愳㙥戵㐸搵慡㍡ㄵ挹改搴㈹㙤㙢㑥摡〶戸攴㙢捤㠲挱扥捣慣ㄳ㑣昶敥攷昱㑦攴昶㈸ㄳ㡢㘱摦挱㌰扤つ㈴㘴㙣㐰挱ㄱ〸〴晦ぢ摡扤㜲㐲㡤晢搷ち㠲摦㠳摤〵㙣戹捦㍣ㄷ㉦㌳っ晥〰㑥㌷㜰ㅣㅢ㝥㡤㍢㉣㉤晡㐷〸攵㌵晥昲㐲㝦㜵ㄷ昸攲㘷㙣昵㤳〰㈳敡ㅥ㜰搹㌶搵昷摢昰敥㝥ㄸ〳㘶㈰㠸㌷㈹㘶慥㘶戵つ㔰㔶戵扢慡戸㐱㑥㉣ち㠲愲慡敥㐳㥣㠷㜱扦ㅤ㜸挰づ㜰〷ㅣて昵㌰〲慣㉥戵ㄵ㉡改㑡㔱㤰〷慡昹昳ㅥ㈱㠳晢摡㘰〶摥〰㠸愸㡦㑢㍡㠳敤㜶㐹ㄷ㜰扣㉥攱挶㌸㙡搱㕤㈱㤴摦〲搰〳ㄱ捤㝤っ㝣㙦攵㌹昶㈳㍢㌶㘳攱敥㙣挰㜰散㤰㤳㘶搰㍤㍡愷㉤摣㠸㥦㐵㤸㠵つㅡ〹戲㝥つ户昵㜳捣㙤㌲ㅤ昶〰㌱攱攰㐳搹㄰扤㍥㜰㌷㘰换㌶㜹㤹摦㑦摢㈴㄰捡晤〲昵扢㝤戹愴㜷ㄳ搶㕣㐸㜷㐷搵昱㠲㤵摢搷愴ㄹ敦〴㠶㝤愸㈷晣戸戹摣ㄴ戲晤㍢㔰愸戵㐷㙡㔳㉦户㙦て㘹挴㘶㥣敤搸㉤摦〳㘵㔱摣㜴㤲㕥戲㑤㌶户ㄷ㌰〸〷搸㤴ㄴ户㉤㐸户晢挴搹敤㜶〱㈴攳攸慡晥敥搷敤搴戳戶晥㍥㐸ㅣ㠴㙥㝥つ敥㜱㐰ㅣ慦㔴〱㐵㘷㝣㥥㌹攳㌰戸愷㐱〲㉦摡㠱㤷慣㐰晥换〸戰㑢㔳挱捦㝡ㄸ摣慣㈰扤戸㉦㑡攳搳㡢㜷〳摢摤㡢㜷〷挷摢㡢㕦戵戴攸㝥㄰捡て㐶挸㑦㐷愸搷挱ㄷ扦昷〷㥦〱昹扥〱慥㜸昸㙤愷㠷㝦〳㐸㘶て扦改攷㘱攳㑤㘸㐲戲㠰ㅥ〸ち㕦扥㠵㌸て㠳摢ㄶ㈴挰㍤ちㄲ攰㍥〵ㅥ㡡ㅢ㄰㘴㘰晢ㅢ㔴㜲㘰㤳〲敥つ〵㝡㄰㐸挸攰ㅥ〴㜱挹㘰㐴㝤㕣戲て搸㙥㤷っ〱挷敢㤲て㉣㉤㝡㈸㠴昲ぢㄶ昲㕢ㄶ敡㈳昰㈵挷攱攰㌳挰慣ㄴ㌷㈰㠸㑢㥥㜳戸㐴昳㤴捥戳户㝡挶搷㝡㙥㐳㠰ㄲ㘸〷㠵昵㥦㈲捥挳昸捣づ㜰㡦㠱㜰戸捦㠰㠷晡ㄲ〱戱㝥㤳㘵扤㈸ㄸ〹慡㐷㠱㠴っ敥ㅦ㘰戶㥡㘷㍡捤昳㥡收愹捣昸捡收㡦㈳㜶ㅣㄱ㝣昱㤰晡㌷昸㘲捦㜸昰㤳昶㝣〳慥搸昳㠸挳㥥㘰ㄹ㈰㤹慢昸㈱㕦㈳戹㔳〰挹㜰ㄱっち㈳户㈲捥挳攰捥〰〹㙣戳〳晦戵〲㡡㌷昸挵挸㍦㍢㡤慣㠴〲㕤〵ㄲ㌲㘸㈱㍥㠱攰㐴㐴㝤慡㜸ㄲ搸敥㉡㥥っ㡥户㡡㤵愵㐵㑦㠱㔰㔷㐰㥦㉥〷挱㐳㘱㤶㑢昶〷㥦㉥㤱㙦㉥戸攲㤲つづ㤷㘸扡㐴慡昸㑦扥搶〷㤱㠸〸㍤ぢㄴ搶㜷㐲㥣㠷㤱㘷〷戴ㅤ〸㔹〱搵ㄵ〱戱晥㔶愷昵㜳愰㐰捦〵〹ㄹ摤〰㈰㔸搳㝡㑤㕢㌵捤㌳昲㙤晥〲戲愶㄰㌱ㄹ㐴㜵〷㥦㈶攸〳挱㑦摡搳〳㕣戱攷㕡㕦㝢慥昱戵愷㈷ㄲ㐱㐹㐰ㅦちち㝢㝡㈱捥挳搸搹づ散㘲〷㝡㕢〱搵ㄷ〱戱攷㉡愷㍤㌵㉣攳攱㈰㈱㘳㌷〰〸昶摡戳扢捤慦㈳㜶ㄶㄱ扣㌰㔵㝢㠰捦昹㐵㐸慤㠳㐶㥥晦㤸㍡愴ㅢ愸つ攷戱〲㐴挵摥ㄸㄸ昶愱晡晢㜲〷㠰换㜳㤹㍥〲㔸戵愷㉦㘶㉦㥢摢〸っ摢愸㥣㘷〶㠱㉢晥㍢ㄷ〵㐸㑥敦㥡〱挹摣㐵捥〶㌴㙤㝡愷〶摢晡㤷㈰㜱昲㍣戳て戸㠸攳慤㍥愰㜰昵㄰挴㜹ㄸ㐳敤挰㌰㍢㔰㘸〵昲㠷㈳昰换㥣㘷㡡愰㤹戹〴㕢㔱ㅡ㥦ㅥㄷ〷摢摤攳ㄲ攰㜸㝢㕣戱愵㐵户㐱㈸㍦挷愲攷㐱愹㉡〵㕦㙡㙣㌹昸挹ㄶ㍡ㄲ㕣昱昰ㅡ㠷㠷㔳㍤敥㐴㍦㘷ㅡ愳㤰〸㑡〲晡ㄸ㔰戸㙤㌴攲㍣㡣㌱㜶㘰慣ㅤㄸ㘷〵搴㜸〴愴㠵慥㠲捡攴㕣昹㌸㤶㜱㈵㐸挸昸㉤〰〴㝢㕢㘸㤹捤㕦㐵㉣㕦㉦愴て〶㔱ㄵ攰㥢㉤昴㈸㘸㑣戵搰㌵搴㠶ㄶ㍡〱㜲戱昷㘴㌰散㐳㔵晡㜲慢挰㤵ㄶ㝡ち戰㙡㤲㉦㘶㡡捤㕤㑢っㄴ㔲慤㥡〶慥昸㉦攱昰㕦昰㜴挸㌲户搰㔶㍦愷慡晤㙤晤㘷㈲㜱戲㠵㑥〷㤷ㄹ改戳㐰攱敡ㄹ㠸昳㌰㘶摡㠱㔹㜶㘰戶ㄵ挸㥦㠳挰㉦搳㐲攷㐲㌳㜳〹㥥㡤搲昸戴搰㜳挰㜶户搰㜳挱昱戶搰㙡㑢㡢㍥て㐲扤〸晡㜴ㄸ㐴捤〷㕦㙡散㐲昰ㄹ㘰㔶㙡㈱愸㜸戸挱改攱㜵㠰㘴昶㜰搴捦挳挶〱搰㠴㘴㜸戱ㄳ㈸㝣㜹㈰攲ㅣ㙡㠲㤷㈲㍥戰㜲㐲攵摣㥡ㄲ㍣㜹ㅡㄹ㌳戶㈸ㅣ㡥㠴㐷搴㡥㉥㕤㔴㍡㜶㔴㘴㑣㘴㙣㕤㘹㜴㜴㜱㜴搴㤸攰㘵㐹攸挸搲愲㔱㘳敡愲㈵搱㐵愳㙢㐷㐴ㄷ搵〲㔵㕢㌴㉡ㅡ慥㉤㉥ㄹ㔵户㈸㕣㘲ㅣ㘴愹搷㤷㈳㡤㕥て㘲ㅣ㙣戳慥㈰敢㑡戲づ戱㔹㐹㤴慡〱㑢扡捡㈱㌰㈳㌹晢晡㍤㤳㕣ぢㄲ㌲づ〷〰㥦㐰昰㍡㐴㝤慡攱㝡戰摤搵㜰〳㌸摥㙡〸㕢㕡昴ㅦ㈰㤴ㅦㄹ㤲㥦ㅢ㔲戵攰㑢㌵摣〴㍥〳昲㡤㠰㉢搵㌰搷㔱つ㥡搵㈰愷收搹扥ㅥ㡦㈲ㄱㄱ晡㌶㔰㜸扣ㅥ㜱ㅥ㐶㠳ㅤ㠸搹㠱㈳慣㠰㙡㐲㐰慣㥦㘹㔹捦㉡搲户㐳㠱摥〰ㄲ㌲㥡〱㈰㔸搳㝡㑤㕢㌵捤㌳㕡㙣晥摤㘴㉤㈱愲〵㐴ㅤ〹扥搸㜳ㅦ昸っ㌰戱㡡㠳㡡㍤㔵㑥㝢㤲㔳㡤〹扥昶昰㕥㌳㤴〴昴㠳愰戰愷㡤慡㜰ㄸ㑢敤挰㌲㍢戰摣ち愸愳ㄱ㄰㝢捡㉤㝢㐴挱挳愰晡ㄱ㤰㤰㜱っ〰〴㝢〷扥㘳㙤晥攳挴㉥㈳㘲㈹㠸㕡〹扥㌹昰㡤㠶挶搴挰户㤱摡㌰昰ㅤて戹搸晢㔷㌰愴敥㤸敡㜷㌶㜷ㄳ戸昶愱㜸㑢㔸〶扥愷㠹㕤敤㡢㌹挹收㍥ぢっ㉢愳て扥敡㘴㜰挵㝦㐵づ晦〵㥦〷㈴㜳户㉣昴㜳慡㍡挵搶晦㈲ㄲ㈷〷扥㔳挱㐵ㅣ扢搴㐱攱敡戵㠸昳㌰㑥戳〳愷摢㠱㌳慣㐰晥㤹〸晣㌲〳ㅦ㙦昱㌲㤷攰换㈸㡤㑦㡦㝢〵㙣㜷㡦㝢ㄵㅣ㙦㡦㍢摢搲愲㕦㠳㔰㝥㘱㑡昳戵㔲敡㕣昰愵挶摥〰㍦搹㐲捦〷㔷㍣扣愷搳挳㙦〱㤲搹挳〳晣㍣㙣㕣〰㑤㐸ㄶ搰敦㠰挲㤷ㄷ㈲捥挳戸挸づ慣戳〳ㄷ㕢〱㜵ㄹ〲搲㙣ぢ愰㌲㜹扥摥っ〵晡㍤㤰㤰㜱㌹〰〴〷户㈰敡攳㤲昷挱㜶扢攴〳㜰扣㉥㔹㙦㘹搱ㅦ㐲愸㔷㐳㥦㕥〵愲慥〴㕦㕣昲㌱昸㐹㤷㕣つ慥戸㘴㘷㠷㑢㔲戳㤵㥥扥搶㕦㠳㐴㔰㠲㔷㌸㠳挲晡摦㈳捥挳戸搶づ㕣㘷〷慥户〲敡㡦〸㠸昵㍢㌹慤晦㈷ㄴ攸㉦㐰㐲挶㡤〰㄰散敤戴㌷搹晣慦㠹㕤㑢挴愹㈰敡ㄶ昰挵㥥㙦挰㑦摡㜳ㅢ戸㘲㑦㥥挳㥥攰㔶㐰㌲㔷㜱搰搷㐸摥㕢㐵㌲慣挵㠲挲挸摢ㄱ攷㘱昰㕥慡〴敥戰〳㜷㕡〱㜵て〲㘲㘴㡥㘵愴㡣戴摦㐳㠱晥〱㈴㘴摣ぢ〰挱挱ㅦㄱ昵愹㘲晥㕣㥡扢㡡ㄵ㌸摥㉡扥捦搲愲戳㈰㤴摦敡㤲㕦敤㔲て㠰㉦㉥攱㡦㤳㌲㈰摦〷挱ㄵ㤷㝣昷㕤㙡捡㥦慡攲㙦挱㑤㥢摤ㅢて㈱ㄱ㡡㠸㘵㔷愸㠲昵て㈳捥挳攰扤㔰〹晣挵づ㍣㙡〵搴ㄳ〸㠸昵晦㠱捡㘴〳敦捣㌲㜶〱〹ㄹ㑦〲㐰戰户㡡㥦戲昹〶戱㝣㕤㤳扥〸㐴晤ㄵ㝣戱愷〷昸㐹㝢㥥〶㔷散昹捣㘹㑦昲扣昹㠹慦㍤捦㈰㤱搸戳ぢ㔴挱㥥㘷ㄱ攷㘱昰收愴〴㥥户〳扣ㅢ挹㐳扤㡣㠰搸昳㜷换ㅥ㈹㑢ㅦ㤶㜱㔷㤰㤰昱ち〰〴㝢捦㥢慦摡晣㝥挴㕥㐱挴㝡㉡㝣ㅤ㝣搱搱ㅦ晣愴㍤㙦㠰㉢昶扣敤戴㈷㜹摥㝣搳搷㥥㌷㤱㐸散ㄹ〸㔵戰攷㉤挴㜹ㄸ㙦摢㠱㜷散挰扢㔶㐰㙤㐱㐰散昹㥢㘵㡦㈸搸㥢㘵ㅣ〴㠲㌵㈸〰〸昶搶て敦〳ち㝦㈸戱搷ㄱ㜱㉤㠸晡〸㑣戱㘷㌸昸㐹㝢㍥〶㔷散㜹捥搷㥥㘷㝣敤昹〴㠹愴㌸愵㔰〵㝢㍥㘵㝥㌸㡣捦散挰㍦散挰攷㔶㐰㝤㠹㠰搸戳挹㘹捦㐸㤶㜱ㄴ〸㔶㤵〰㈰搸㙢捦㔷㌶㝦ㅣ戱㌷ㄳ挱㌷㉤ㄹ扣㐱㈷㠵ㄸ㉦㠵挸晤ㄶ昱㝤㌳㍦㥢敤戸挹㌲〴て㉦扡㝥搰㙡㈲㝥愰㙡〵㝢㝦㌶㕥㈷㘱扥㠴㈱㈷㙢摣㑦搳挵㠵㜹㍥戲捡㙦敥㈳戰昵㝦搰挳㕡㑡摤挶愳挶㍤昰搵㘵㌰㌸晦㍢㤸㡢晦摥昵摥㉦捡挰攳㔱㉥㌴搰搳晡摦扢㍣㝦㥢㌷㠵昷㡤㡡㥢㡦敡㜹昳攴捤ㅢ换㙥㝥慤㘶改慣㝥㈷㤵愹ㅦ㤱㘲〰昴㜸㕦つ昵〰捣㝡ぢ㕢㈹搳㝥㄰收㝥㑢攰晤㐱ㄸ㠳㜷慤愴戲㈶㑡㘵愹㈰㈲慣㌰㜵㉦㔲搰㑢㘲搸㘴ㅡ㤶〷搱㡥ㄹ愶扤㈹扣㠶㤹㑦㉦㡣㈸㥦㝢㜷扦ㄳ㍦㥤ㄳ㈸㔷㕤㤱挲捦戰㍢㌲ㄹ戶挱ㄲ㜸㝦攸㐵㜵㠷㈶改㔵㌳㔰㘶ㄶ㥢㕦挳扥扢愱㝡搸㘲㥢挳㜵ㅤ㠳㌷ㄳ昰挱㠲ㄳ搰㝡㌶㐸搷㉣愳て㌸㜹㘴捥㈱㜳㉥㐹㌵挹㍣㤲昹㈴ぢ㐰扡㘶㈹摥ㄴ㄰摦摤攰昴摤〱㄰慡㝥㄰愵散晡㠶摡㥥〰㔱搷㘴戲敢㙡㑢攰㝤㘵扥搱ㅦ㥡昰〹攸挳㤸㘹戶ㅡ㘸㘷㝡愵㌳搳挳㈱捣摦ㅢ㈲晣敦愸㈵收㤵〳㠳挳㈸捦ㅦ㘴愷㌸㔴昵㍦愷㈲昷摤㤵摥ち挳㤶挳㑤㥢扡挴换㈵挱㜳ㄷ㤶㉢慥㤰愷っ㝢ㅣ㝣搳戰㑢㌳ㄹ㜶㠹㈵昰扥ち摦ㄸづ㑤昸㘰攳戱㘹㔸㈹㈲攲捤㜵㑥挳ㅡ㘸ㄸ㤷扣户挳㌰㐷ㄷ攳晡戸㉢㠵搷戰㍤搰晥敥敥搷戹㕣晥㥤㤸㕢慥戸㔴敥㘷搸㜹㤹っ㍢搷ㄲ㜸㕦㜱㙦㡣㠷㈶㝣〲扡搹㌴慣〲ㄱ㌱散㙣愷㘱㑢㘸ㄸ㤷戹㕤挵ㄴ㍦〷摡ㄹ㍢戸㈶敥㑡攱㌵慣攸昲㡡捡ㅦ㜳敡换㡥㑢㝣戲戱㝥挵㙦换搴ㄴ愴昰㌳散戴㑣㠶慤戵〴摥㔷搷ㅢ㕣㈲挷〷㤷㝦愶㘱戳㄰ㄱ挳㑥㜱ㅡ戶㥣㠶捤㠱挸㔵捣づつ㥢敢㑤攱㌵㙣散㠶㈷㤷晥㜹晤愹㘵㍦ㅥ㜵㘲敥㌷搹㠷㤵㈹慥㝣晢ㄹ戶㍡㤳㘱慢㉣㠱昷㤵昴挶㠱搰㠴て摥㠶㘸ㅡ㜶㈸㈲㘲搸敦㥣㠶ㅤ㑦挳㙡㈰摡㌱挳づ昷愶昰ㅡ戶㜸捡㥢戵ㅦ㔷㉥㉣敢昲搴㔳㡦摥㜴㐲敦㌲挵㈵㜰㍦挳㡥挹㘴搸搱㤶㈰敤㔵昳つ搰㈴㠳攲㐹㈸㌳㐶㜹昹ㅡ㌱㜰㜹㈸㔹〷㐷㐰摢ㅣづ㝢〶㔷扥㠹搰㈷㈳㤱㍥〵〴㠳㈲㤷慢㘵㔰㍣㤵捣戵㈴愷㤱㥣㑥㜲〶挹㤹㈰ㄸㄴ㡦〴㔰㝣户挴改扢戳㈱㔴㕣〸㑥搹㤵ㅡㄴㄷ㘷戲敢〸㑢攰㝤㑢扣挱愵㘳㝣〲晡㐲㘶㥡慤戸晥㉢㤹㌶㌸㌳㕤〷㘱晥㜱㄰攱㝦㐷㠳愲㘳散㔸改㑤攱慤戰㙢㐳㤳〶戶㘵㥤㕡ㄶ㕤晦挴愰㘷敦㥦㕥愶戸㈲㥣㌲㉣㌵㈸搶㘶㌲㙣㤱㈵㐸㝢晢㍢ㄷ㡤愵挲搶愳捣挹ち㍢ㄹ㕣ㅥ敡ㄴ㕢㙣㜳戲挰㌵戸㄰㑣㠴扥㔲扣㘱㥣㠹㠸搴搵㔵㠸敢慢㐹慥㈱昹㍤挹戵㈴搷㠱愰慥戸㤶㉢㙥㍢挰改戶ㅢ㈰㔴㕣ㄲ㑤㤹㤴慡慢敡㑣㈶捤戵〴摥㜷戶ㅢ㕣㐴挵㈷愰㙦㘱愶搹㡡㡢㥥㤲改㙣㘷愶户㐱㤸换愵㐷摦昷㑣㤸㍢㜸昸ㄳ扤㤱挲捡〹愳ぢ㈷㉥慦㡤㌴昲㥤ㅥ搸扥挳㤵㥡㕥㑤㔳攳〸攲搷㤰收戵㔴挸㥢㈶戸摤慢扢扤挳㘷㠸晤㥢㤵〳㔳ㅣ晢㌵㉥㜶戲㔹慤挹㜴昸つ㐸散慥㠲㘰〸㝦攱戲㔷㉡收㜸ㅦ㔸摦ㄴㄷ㙦敦挱㍢㐵㈲㜵戶挶㌸戶敤攷㘴㘵愷晤慣㤰㙣㠹愹㙡㘹挲㡦挴ㄵ昲〵㘰搴㠶㥦㘳㥤㕡户ㅢ㉣攸敢昳㌶戴〹戱㠴扣㑤㔰搶戹㌴ㄷ㠷㠳户挳㑤㜹攳挷敥㔳㕣㌸慡㘸㙣敥㜴㜸搰晢捥㠴㡣戹戸攷戰捣㤳戵ㄲ搲㜷戰扡搷㈳㑣敦㉢㝤ㄹ戳戹㑢戲ㄹ㘹㘶愳愶㈰ㅢ㘶挵挶ㄶ搲昷㄰㝦〵㔰㘴攱ㅦ搶㐸慣〸攵昹㕣ㅥ〶愲愳晥收㤸㠴㜰㉤㔹㔲㘴㥡㠴扣㝡昵㤲昱愱㕤ち捡㔷㍤戴昱捡㠹晦ㄹ㕡慥戸㔰㥣㙡㥣愹晥㔶㠹ㄲ昹㑥㠷㈷㔸〲敦晢昴㡤㥢愰〹ㅦ㉣愴愲〴㘸㥣户㈱㈲㡤戳ㅣ㈹㤲搳攱㠷㈱捣攷捡㉦摢ㅡ扦㡥挳㝢慥㑥ㄹ㘶㠲㝡㤶攷㜳戹㔸㔲㘶㌲搰㐴捥㉣㤷晦て捤㌵晦ㅦ扦愰㕣㜱〵搹捦搰㝤㌳ㄹ㍡捥ㄲ㜸摦㥢㙦㜰捤ㄹㅦ捣搶㑣㐳ㅦ㐴㐴っㅤ攳㌴昴㈹ㅡ晡㌰㐴昸摦㤱愱㡥ㄱ㤳敢挷慥ㄴ摥ㄱ昳㥡㐷㕥㥢㜰搶慡㐵㘵㤷敤昳㑥改㑥㔷ㄶ㤷㈹㉥㈵晢ㄹ㔶㥡挹戰ㄲ㑢㤰昶㍥㝣慥㌶换㠸昹㉣㑡㤰ㅣ㌱戹攴㡣て㜶㔱㠳㡢ぢ㘳㝢戱㔹㍤㙤挳㙤づ换㙤㍣㙢挳㕦㐰㔴扦挸㌴㔹〶㤷㠱㘵ㄸ㝤㠹捣㤷㐹㕥㈱㜹㤵攴㌵㤲搷㐱㌰㡣㜲㘵㔸㝣戹㤷搳㤷㙦㐰愸戸挰㥡戲㌳㌵㡣昶捦㘴㘷㠱㈵昰扥摡摥攰㤲㉣㍥〱扤㤹㤹㘶慢㜷散㑣晢㌹㌳摤〲㘱晥㘶㠸昰㝦〷㉡㤰㉢愹慥ㄴ摥ち㕣㘷挴愷扥扣戴戲慣昲戱㌱㉢㝢㠴晡㤷㈹㉥㤳愶っ㑢㜵挱㍥㤹っ敢㙤〹扣慦慣㌷㍥㠶㈶㝣〲晡㘳搳㌰慥㡥㡡㌷㜷㜶ㅡ昶㈹つ晢㈷㐴慥㘲㈲ㄹづ㙦ㄷ㜴戴㑣㉥㤲扡㔲㜸つ㥢㈲搷摡て㤷㥤搷昳㠰㐰㜵昰昲㌲挵昵㔲㍦挳扡㘷㌲捣戰〴摥㔷搱ㅢ㕣㘱挵㈷愰扦㌴つ攳㡡愸ㄸ搶捤㘹搸㔷㌴㡣㙢㥤㍦㙤㙣昹挱㑥搹晥搸搲扢㥣㡥挲㍢㡢换攵㕦愰愴㕣㜱ㄵ搴捦㔰㥤挹搰㍣㑢攰㝤攵扣挱㜵㔳㌱㜴慢㘹愸挶㍦㌱㌴攸㌴㜴ㅢ戸昹㕣搶挴㘷〷㥡㈶搷㐰㕤㈹扣㌵㜸挸㡤搷㍦㍣愲换捡戲攷晢つ扦收㉦㤵〷㤴㈹㉥㠷晡ㄹ愶㌲ㄹㄶ戰〴摥㔷挹ㅢ㍤愰㐹っ㔳愸ㅣ昴㌹慥㠲㡡㘱㍦㙣㜵㥣ㅤ戲㈱捣敦〳ㄱ㍥ㅤㄹ㤶㍡㍢攴㜳㌱㔴㔲戴㕢㜳て搵㥡㌵㔶㄰㉤㔷㕣ㄷ昵㌳㙣㉢㑡攳㝢摡晢搶ㄲ㜸㕦ㄱ㙦㜰㈵㔵っ搳愶㘱㕣づㄵ挳晥攳㌴慣㌳つ攳㐲㈷㍥ㅤㄹ收攸㜳㕣ㄵ㜵愵昰搶搸㔵㉢㑦㔸摢㙢攴昲戲㠲㉦ㅥち㍣戲㘶㙥㤹攲〲愹㥦㘱㕦㘶㌲散ぢ㑢攰㝤昵扢㌱ㅣ㥡挴戰敥愶㘱愵㠸㡢㘱㥦㍢つ敢㐱挳戸攲㠹捦づㄸ挶攵㔱㔷ち慦㘱㐷㜳搹敥愸搵搶㘹慥愲㑣㜱愵搴捦戰㡦㌳ㄹ昶㜷㑢㤰昶㑡㜷慥慤㜶昴㑡㜷㍥㐱㄰㠹换摢㐶昳㘱㔸㙥㤴㤳攰捥㔱㤳捤攵㔰㜹挳㘴愳㍣㌰搰〵慦㕦㙥㕤ㅣ㘹㥤㡥ㄷ㡤攳愵换搵㌱敢㠷慤愷攲〵攴㝣慦㤶晤㠲㕦㉤㌱㈶づ㐶㘷戵攲㡤扦㥤愲㔳攳㜸㠷㘲㕤ㅥ㝥㐴㍤㠱摦㐶㙥晥㌵㙣搶挶㈳ㅣ㝣㈶ㄶ㠷昹㔶㘶摦愷㈷昸㔸㠴敦㙣㔹㍣㔶㤸昲㠷晤ㅥ扤㉣扥戵昹愷㙤搵づ昶㐱ㄳ㜳㍣攱㔳攷㜸ㄵ㜹㡥晡㄰戵㙣摥㍣㍡㍥昰愳ㄴㅢ昷戳㜵㕦㈴〹敥〶㤲㡤摦〷㤷㌹つ㐸㐸敦づ㡥慥〵㑡㐸㈰㤷㡢捥㕥晢昸㐸ぢㅦ㉡っ攴㉥㡢搵㈵ㅡ㠲つ㤱㔸㝤㐳〲㡦慥㜴戶ㅦ㌹㘱㉥㡡㙢扥㙣㐸挱㍤摡㉢摤扢扥愵敢捦搲つ㐸㉢摤㙦摣愵㔳㕣㌹㘶〹敤挳攰㜲慣捣愲〶ㄲ戹ㄷ挹摥㈴㠳㐸〶㠳㘰㕣㥤〵㡣㤴㙢ㅦ挴㍢㘳愳晣戸㠲㤹昲ち㜷愵㕥昶㉤捣㔰攰㠲挳㐰昸㘳愴㝣㔱ㅡ攷㠰㈱㕤〸㡥挳㔵㡡ぢ扡愲户〸㠲搴㉦敢㉥攵攵㕤㍣㑢㍤㙢敢晥戴愴㑦慡ㅡ㑡愸㠴扡昱挶㙥㑢敦〸㡦㕥㉥っ换愸戲ㄱㅡ㜸㤵挰㜹㘷㐸㜱愹㔸搸㑦㔹散敥挲慥戶搹㑦㕡散㥤㠵捤攵㘴㐱㍦㘱戱㜷ㄱ㌶ㄷ㤸㠵晤戸挵ㅥ㈴㙣㉥㌹ぢ晢㌱㡢㍤㔸搸㕣㙣愶扢攷慤扢户晣晢搲㐳㉢ㄴ㔷㠹挵攴晤㔰收攴㌳㡥敥收昷ㄷ愸㐸㙦㝥扦㐵㠲㘰ㄹ㠸扢昹㤵㝢㙣㍦摣捡ㄱ搹换愱戸㝣㉢㌹㑥〰㌲㘳㤳㝦挰㌷捦㉡㉡㘷㤳㑦㌵昷㐹㥥晣戸〰散㙣㔰㡡慢慡㤲摦㤴昶昲扢换㌷扦㘹㐸ㄲ摣ㅦ挴㙤攳㜴㑦㥥㕣㥢㜵攵挹〵㑦挹㜳㘶㝢㜹摥收㥢攷㙣㉡㘷㥥㈹ㅢ攷㝡昲攳㤲愹㉢㍦慥㐳㑡㝥昳摡换敦㡦扥昹㉤㐸捦敦〰㑦㝥挷㝢昲㌳戸㍣㈸愷捤㠳㠸㍣㤸攴㄰㄰㍣攷㘸ㄷ攴㔰㐴摤㍤昳㉡摦摣㙢㤸㔶㝡㑦戲㔷㠶挹㑡つ㘰敡ㄴ㑢愷㘶慦捣㔲㤷摡㝡㕣扤㌰㤲搴㤳散㠵昵ㅥ㍤㕣㠹㤴㉥㜱㈱㌴愴㝡㈱搷㈶㠵㝤㠱挵㌶㝢㈱㔷㉢㠵㝤扥挵㌶㝢㈱搷㉦㠵㝤㥥挵㌶㝢㈱㔷㌴㠵㝤慥挵㌶㝢攱㤹㌶晢ㅣ㡢㙤昶㐲慥㙥扡㝡㈱㤷㈵愵晥㕡㔰收㡣㝤攲㉣㈸㐹敦㠷㐷搲㑣㜷㝢㠹㝢㉣㕦㘷攵㘷昶㐰㕣扦慥〷㐳敡慦㡤挸愵㈴换㐰㐲㡡㉢㠲㉣㠸攵敢㌵㜶㡥㉥㕦ㅦ㐵扣㌹攲㔱㈳㐷搲㘳挸㜲搴ㄹ㔷ㄲ挵ㅦ㈷㔸㠶㥢㈳ㅥ搷ㄶ㠵晤㍢㡢㙤晡㥡慢㡤挲㍥摥㘲㥢扥收晡愳戰㔷㕡㙣搳搷㕣㤱ㄴ昶㜱ㄶ摢昴㌵搷㈸㠵㝤慣挵㌶㝤㝤〳搸㉥㕦摦〲㠶昸㝡㌵捡㥣㘱挴㍢ㅡ㉡搲㍤㝤ㄲㄲ〴搷㠰戸㐷㠳㤳㍤戶㜳㘹搲搹㍢㜳戸㘲搶摥㝡ㅤ㝤搳愹愹㈶摣摡ㅡ㕥㤱搷㔴搳ㄸ㘹慥㑦㌴攴搵㉣挵昲㈴㝥㠹〴㌷ㅥ昱ぢ攲晡㔴攴㘲ㅦ敡ㅥ㘸愴㔶扤搶挹㝤㄰ㅣ戱散㌴㜰㥤敦㑢㜰て攷㜱㕦攳捥愰ㄵ㌴㉥㌵散㥣㐵㤶愳㔲戹慣攵㌴㑣㜱㙤㐸㌲㍣〷挸㡣捤戶挹㌷扦昳愸摣摤㙣㉦昰攴昷㤴㈷㍦攳㔹㌰愴搹㕥㐴攴㍡㤲㡢㐱㐲㡡慢㌶㔲昷ㄱ慢敥搹慥昲戰愶捡昵ㄹ㈹攱愵挰戹挷愳㕡摦㘲㕤㑥愵敥昱攸ち戲ㅣ㙥㜸搱搲㘹昵㤱㐳㙤㍤㤸ㄲ愴㘶〵搷㈴昵㈴挷愳㙢㍤㝡戸㑣㈴㠵㍥挰㉡戴搹㐷㕥戶搹ぢㅤ戶㠴ㄴ㤷㤲〴扤挰㘲㥢㝤㠴㡢㑢挲㥥㙦戱捤㍥挲攵㈶㘱捦戳搸㘶ㅦ㜹摤㘶㔷㕢㙣戳㡦㜰改挹搵㐷戸㘶㈴㙥扢ㄹ㘵捥㔸戱㜳愰㈴扤㤷摣㑡㌳摤ㄵ晢㈷㡦攵㕣㜵㜲㌵愴㡦敤晣㌶戴㤷摦晥扥昹摤㤹㥥摦摤㥥晣戸ㄸ攴捡㡦㉢㉣㘲摦扤㐰㘶敥㈹ㄳ㝤㌳扣㥦摡摤㍤攵捦㥥っ扦昲㘶戸搵捥昰㈱㈰㌳㍡戴捣㌷扦㐷愸摣敤搰㐷㍤昹㜱慤挴㘵㈰ㄷ㈰挴挰挷ㄱ挸㌰挸㡤昵捤敤㐹慡㜶㕢户搱㤳ㅢㄷ㌰㕣戹㜱㔵㐰㜲摢㠴㐰㐶敢㑡㝤昳㝢㠶捡摤搶㍤㐷㤶愳挳㜵㐶摣㤵ㅦ㉦搶㈵扦ㄷ㄰挸㤸摦㌰摦晣㕥愲㜲㜷㝥慦㤰攵挸㡦㤷晢捥晣㜲㜹愵戵摤㔷㠲㥣挷晣挴攷㔹㕦㐳㍥㡡搷㙦搴愱㕦户〲㜲㔵挱换㈹ㄶ㐳晦㡤㕣㕥㐵〹收つ㉢㈰ㄸ㕥㌱㐹愷摦ㄳ㤶㜳㠲戳㥦㡣㠲㐱戵㤷㉤昸㡤㈵ㄸ㉦〲愵昶戶〵〳㉣㐱ㄹ㌳㝥㠷㑡㜹扤㈵捡ち㉣搱㙦㤹〶慦晤攲㌵㤸〸昶戰〴ㄵ㤶㠰ㄷ㔹㔲挴昷㤸扥㤰㠴摡戶㈰挰㑢㑤㝥㔵㠹㡤㜹㥦攲ㄱ㌶收〳㈷㠶ㄷㄶ愲攷㐳㡡㜹㍤㈱㝡㍥戲〲㘲㙡㤵㡤昹㍢戹㤳㙣捣挷㑥っ㈷敦愲攷ㄳ㜲㌹㘷ㄷ㍤㥦㍡㌱戳㙤捣㘷攴捥戵㌱晦㜰㘲ㄶ搸㤸捦挹攵摣㔸昴晣搳㠹㌹〸ㄱ㜱㡡㘱㌹挵㜶晤挱戶㈰摦ㄲ搸慥攷㝣㔹㔲㜴戳〴攲晡慦愸㤴㜳㘲㈹昸搷㡣㜱㍡㉣ㄹ晥ㅢ㠱愴㈳㌹摦ㄵ捣㝦㈸慥户㌱摦㌸㌱㥣ㄹち收㕢㡡㌹㈹ㄴ㍤㕢慤〰㈳㡡ㄳ㐰㈹㐶搰㔳昰愵戶㈰搷㔳㜰㑥ㄴ㈵㐵㡥戳攰摦㔳改㔱㈰㤲攱て㡣㜱㑥㈸ㄹ晥㠸㐰戲攰㈷搹ㄸ㍥㈹愷㌸㜷ㄲ㡣㘲㡣〵挲㌷摦㥥敢攴攵慦㠵㥣㐷㥥㍡挳㑥㤷㐵㈴愷㈶㤲㉥摢㤱㑥㥤㘷㘳㜲挸扤挰挶攴㍡㌱ㄷ㠱㉢挵晦敥㕢㜷㈷攱㜴㐲〴㕢㉤㠱㕤㔳ㄷ摢㠲㙦㉤㠱搴㤴愶㔲捥ㄶ挴攰㄰㘳㥣㈸㐸愱㍡㈳㤶㌴㤸㌳〱挱㜴㈱收㕡ㅢ搳搵㠹攱㌹㔳㌰摤㠸攱改㔲昴攴㌳〶敢攵㝢愷㡤㌱挸扤摢挶㜴㜷㘲㜸㙡ㄲ㍤㍢㤱换戳㤲攸改攱挴昰㜴㈲㤸㥥攴昲㑣㈲㤸㕥㑥っ㑦〲㠲搹㤹㕣㡥晦㠲搹挵㠹攱挰㉤㤸摥攴㜲捣ㄶ㑣ㅦ㈷㠶㠳慤㘰㜶㈵昷ㄵㅢ搳搷㠹㜹捤收敥〶慥㝤ㄸㅣ晣㘴慡户㍢戸㔸昲㤱㘱て㔲摤捦㠹㝡挳㐶敤㈱愸㝣㡥㕣ぢ㠱捡㕡慥㙡て慦㍢晣昰㙦昳㜳ち㜶捤㌹愰扣换扡㜷㌷扥㜷捥㑢㠷㡣晦攸扦㤷㕥晡搲晢攷㙣晡敦晤㡢挶㍦㜱搵㔵㡦㑥㕢扦改扤㥤愲㔷㘴摤昹敤昴㉢㡥㈹㕥㝣捣㤱搱昹晢㑣㍥收挰㈳收ㄴ捦敥㍥㈴㍢扢㔳愷扤㝢㍣搹㝢㤰㜱晣㤱㜷慢㠷㕦摦愵㔹挹搰挶㘲ㄴ㈰㐳摡换慦挱㈱㑥ち摢ㅦ㕣㍤㠰㘵挹㔲㌲挲ㄱ㙡敦㈰㐴㌸㘰㜰愴ㄳ攸㥥㠴づ㌴愱㌲搰ㄱ扡ㄷ攲昶㘱㜰挰ㄳ攸摥㐴㘵㉢ㄹ敡㠸㜲㌹㡡㐳㥥愰〶㥢㈸ㄹ散㠸摡挷愹㡢㠳㥥愰㠶㤸㈸ㄹ敥㠸戲㌷㠶㌰㔷㠳挳㥥愰㠶㤹㈸ㄹ昰搲㔰ㅣ昸〴㌵㕣㔰昹ㅣ戳㝥㔱愷换㌰挸㘲ㄴ㈱挳愴搳㌹ㅣ㑡㌱㡡挱搵㈵㉣㑢㤶晡て㤸搲っ敤ㅤ㑡㘲ㄷ㐷㐵㠱㡥㈰㜴愴〹㤵㐱㌱捤㌸づ㡥〲ㅤ㑤㔴㜶㍥挷戵㕦搴㌸ㄹ㉡搳㡡挱㈱㔳㡡㌱㤶㈵ㅥ㘷㤶㔸㐶㑣㐲昷㐵摣㍥っ㡥㥣〲摤㡦愸㙣㈵攳㈳㔱攳㥤㈸㡥㤳㠲晡慤㠹㤲ㄱ㤲㈸㔷㌳攱㐸㈹愸㜲㐱攵㜳㤰晢㐵慤㤷㜱㤳挵愸㐰㑥㍣㌸㙣ㅡㅣ㍦愵ㄸㄳ㄰搰㤵㈰愸㕡ㄹ㍥㈱搵㔵㠸㈷㕢〱㠷㔱㠱㑥㈴㜴㤲〹㤵㔱㤴搰挹㠸摢㠷挱搱㔴愰㔳㠸捡㔶㌲㡥ㄲ攵㜲〱挷㔳㐱㑤㌳㔱㌲㤲ㄲ戵㍦攲昶㘱㜰㐴ㄵ搴㜴ㄳ㈵㘳㈹㔱慥晥挴㌱㔵㔰㌳㑤㤴㡣愶㐴戹慡㠶愳慡愰㘶㥢㈸ㄹ㑦搳㜴㜱㕣ㄵ搴㕣ㄳ㈵㈳㙡ㅡ㡡㈳慢愰收〹捡戰㠷ち挵㘱㔴捥㙥㝦戴㑥㘲ㄳ㤰ㄶ搳㌹挳ㅥ㑦ㄵ㠷㔰㐱晣挱㠳攰㔰㈷㍡ㄷ㡡㑥挵㐱㑥㠰搷扢㠱㡡〳㥦〸慥戳〴晣改ち㝤㄰戸㡡愳㥤㠸㝥敦㐹挳ㄱ㔰〴搷㌸搳ㅣち慥㘱て㠶㡡攳㥦㘰慥昲㈴收㤰㈷㠲㉢摤〲挳慥㔱挵攱㑥㄰㔷戸ㄱ㡡㈳㥣〸搶㝢〴ㅣ搴㐴㜰戹㕢㘰㜰昰ㄱ㌷搴㈲㠰收挳㘱㐷㠰㤷扡㠱㡡㐳㤱〸㉥戱〴㈹㌷㜰晣ㄱ搱㍡㑦ㅡ㡥㐹㈲戸挸㤹㈶〶慥攲㐰㈴愲ぢ㍣㘹㌸㌴㠸攰㝣㡦㠰挳㠵〸捥㜳㉡㙢〲搷戰㐷づ挵挱㐲㌰攷戸ㄳㅢ㜶搳㔴ㅣ㈸〴㜱戶ㅢ愱㌸㌶㠸攰㉣户挰㘰ㅦ愶㠷扡收㈸㜶㕣挱㥣改挶㈸㜶㘶ㄱ㥣㘱〹挴㌹㜱㜰つ昶㙢㜱㜰〲〱㌸㤸㍤㕡愰㙢㍤㍡搸换㐵㜰慡㔳挷㌲㜰つ扢挳㉢昶㜱挱㥣散㐹捣㙥㉤㠲㌵㙥㠱㘱昷㙦挵㉥㉤㠸㤳摣〸挵㕥㉣㠲ㄳ㍤〲㜶㕣ㄱ慣昶〸搸㔷㐵戰捡㈳㘰昷ㄴ挱〹㙥㐱㉥晢㔸㍢㍦ㄴ㥤扡改㤸挷扥搵挴ㅦ㡢攳敤挷㔰搳挴收戶㈶搹㘳ㄸ㙣攲慦昵㌶㜷户㝥攸㙢㐸ㄲ戳㔳㤲㤳挴㜶㑢戲㈴㑤ㅦ昳户㔶挳㡢ㅡ㈳㠴っ㐹㈹敤攵㤵〸ㅥ戵挵ちぢっ挸晣挴㡤㕤㐰㍥〳㤳愷戶ㅢ㤸愷㤸㐰慦㠴㌷㤸〳㕥㍡㙤㠷㈴慡㌸愸挸挴昲㜸〴ㄴ㠷ぢ㠹晤㡥㌱昶㑦扡㔱㥦〰㘲愶㑥㠶捣搴散㔷㠲㕦㠵㠰㘲挷㤰搸㙡挶搸ㄴ㈵㜶㈲㘳㙣㡡愲敢㈴〴㑣㕤挹㤰愹㡢捤㑥昰㙢㄰挸㘵㌱户挳㐸㥥扥㝥攲ㅡ挱挹挸㐱㠹搵㜴搰㈹㠸昱㤰昳愱㔸㡦㠸㍥搵攲㡡㠴戶戳㔸㝡㉤㠸ㄲ㡢㠹㌹捤㠹ㄱ换挹㍤摤挹ㄵて㤰㝢㠶挵攵㍦㐵晢㐵摦㤹〸㈸㕡㉤ㄳ慥戳㈸挴㠱㠹ぢ㉥敢㙣敥搹㔶㠰㄰挳㉥慣㘱㤷㑦㐹㤱㈰搲攷㌸㜱㜶搱っ扢㌴㠶㕤〰㈵㜹㌲挱戹捥〴㜶摥〶戳㘳戵攸昳㄰挰㌶㍥慡㤵昸昹㘶㥣愹㈴㝥㠱挴㜳〹㙢㘷㘱挷晤㝢㠶㈱㈸敥摡㘴晥㠰慦昴戴㜸慥昴慤昴扥户ㄳ㕢晤㄰ㄷ㌴㘴戲㐸昳捤㘰戲ㄳ㜶戶㐴散戵㍢摡〳㍢挱ㅡ㝥攱昷㝥敤㜷㐲戳〳㙥ㅦ捡敡㝤ㄷ挲㍢㈱㘹㔹㍡ㄵ㤴戸愲㍦改㍣㠷挰ㄱ㌴㌱昴戱㘰㉥㑡改㐹〵〵㤳㑦扤㔲晡㝣㑡㈴搴昹晦〱㝡㑢㥥戳</t>
  </si>
  <si>
    <t>㜸〱敤扤㜷㝣ㅣ挵昹㍦慥㔱㌹㙢捥㐵㘷㙣㡣つ戶㤱つち慥戲㑥㕤〶㘳挹㜲〵㜷ㅢ㠳㘹攲㈴摤搹挲㉡收㜴㜲愱㥡ㅥ㑣㌱捤㘰挰㘰㔳〲〱〲〱㐲敦㈵搴㤰搰㙢㐲〹㈵㈴㌱愱〶〲〴挲敦晤㝥㜶攷㙥㜷㙦㑦挲㝣㤲搷㡦㍦扥敢搳攳㤹㘷㥥㜹㘶㥥昷㤴㥤摤㜹㜶㌷㑢㘵㘵㘵㝤㡦㠳晦昳挸㘵㘰攸愲戵㥤㠹㘸㕢㜱㝤㐷㙢㙢戴㈹搱搲搱摥㔹㕣ㄷ㡦㐷搶捥㙥改㑣攴㐰㈰搰搰㠲昴捥扣㠶捥㤶㈳愳昹つ慢愲昱㑥〸攵㘵㘵攵攷敢㙣愴て戱晦㐲㈶愲㤹㑢攷㤲㐰㉡㑢〷㐸㝡㤱攴㤳㘸㤲㈰㐹㙦㤲㍥㈴㝤㐹晡㤱ㄴ㤰㠴㐸晡㤳散㐰㌲㠰㘴㈰挹㡥㈴㠳㐸㜶㈲ㄹ㑣挲昲昵捥㈴扢㠰昴ㄹち戲戸㝥捡扣挶挳㘱捤愲㐴㐷㍣㍡慥㜰㠹㔵攷㐹攱㜰㜱戸戸戴慣㈶㕣㕣㌲慥戰扥慢㌵搱ㄵ㡦㑥㙡㡦㜶㈵攲㤱搶㜱㠵昳扢ㅡ㕢㕢㥡昶㡤慥㕤摣戱㈲摡㍥㈹摡㔸㔲搶ㄸ㈹慦づ㤷㔷㔴挴㙡㙡慡晢っ㠳收戹昵㔳收挷愳戱捥晦㤶捥攱搴㌹慦㝥㑡昱摣㘸攲扦愵㜳㔷攸㠴捡愹ㅤ㙤㤱㤶昶晦㤲搲㍣戶㘹挵搴㘸㔳ぢㅢ㍦ㅡ㡤户戴㉦㉢㐶戵㕤㐰㈳㔶㔵㕣搷搹搹搵戶㤲晤愸㍥摡摡扡㌰ㅡ㤳㐶㙦㥢摡㤹㤸ㅦ㠹户㜵昶㘹㈳㝥搱㜸戴扤㈹摡搹慦㙤摡㥡愶㘸慢㉤搸㤹摦戶㈴ㄲ㥦ㅢ㘹㡢收㌲㔰搰㘶戵攱慣收㘸㝢愲㈵戱戶㙦摢㝥㥤搱㠵㤱昶㘵㔱㡡攴戵捤攸㙡㘹㔶戹戹昸㘵攵散攱㔷㌳㘹㈸搴愷慤㝥㜹㈴㥥㤰ㄸ㥢㌰散㈷敢攸㉥㘲㠵慢㕥散㔲㠵㥥㕣㙣戳㐵㉤㙤晢㐶攳敤搱㔶ㄶ挲㤶ㅣ敢ㄱㄲ㠰慣㜶㐸㈲㘵捣㘱㉢愹摥昶攰愳㉤㉣㈵㔰㐸㉤戳㍢㤶捤敤㠸户愱㑦捥㠹㐶摡㈷㤵ㄵ㤷㠴挷㉤㑡㌴㑦㡤慥㥡㔴㔲㕣㠶挸散㡥愶〸ㄱ㥥㔴愲㐷㈰㠳ㅥ挹慣扢㠱散㍣扦愳㜵㙤愴㈹扥戶㌵搲搶搲ㅣ㉤ㅣ戵㘲㔹㘱晤扣搲〹㉢㤶㡤搶扢㔳戲〸㐴攵扥㡥㐹挰㔹㌴〷㘲㜶㐳㈴扢愱㌱扢愱㈹扢愱㌹扢㈱㥡摤㄰换㙥㔸㤶摤戰㍣扢愱㈵扢攱昰散㠶ㄵ㤰㌱㐷㝥慦㕥搹昶昱搹捤戳て扦㙡挶㔱晢㥣摥㔹㜷㑡㘹㥦晤㐷攵㜱摣㤷昹攱攰㠵㜸㍡㠶㘶㔳愴㌳㘱户㍥㈷㠸晦㙥攷攸戹㙦㑣㡦㌷晤敦晢〶ち昹慦昴つ扤〷㄰搲愳㐰〲愳㐱挶敥ㅦ㐹㐴攳㠵戱㜸愴㘹㘲㘱㍤㘶㙤ㄹ㜵慢愲㠵慢㠵摦搲戶㌲搲㤴㈸ㅣ㌵㝢挲㡣㝤㐶敢㌱捣㍡ㄶ㐴愹ㄷ搱昶㙣晦㐳㥦扢晤㤵㑢扦扤户昶慥昹ㅦ㑣敦㝡敢㤲㤷ㄵ攷㙡㤹敦挷㈳㌰㝡扦昶㤶ㄸ晡攰戸㌹㉤敤㤳慡㑡㡢换㑢㉡挶捤㠹慣㤹ㄴ慥㐱㙦慣慡㐹ㅤ搵扡㤸扡㈷㠰〴㑡㐰㐶㑣㙤㠹㜶㐶㕢ぢ㌱愵戶㜷慥散㠸㈷ち㥢㜱ㅥ㠹㘰戴愳㌳戶㡤㥥㔸㌶㔱㠷㤹愱ㄴ㐴愹摦摢㤵搹㝢昲㈷摦㍣扦㝥晣㤴㥢捥㌹㝥搳㤲搰戵扢㉡㥥㌳愴㌲攵〸搴㜸〶㐴㜵㜱搸㌱㈰慡挳㈵愹敡㈰㔴敥ㅣㅥㄵ㉣慢ㄲ㈴㔰〵戲〳㠶㜵㘴㤵っ㥤挲㔱㜳昶㤹搰㔶㌶㕡㔷㔳愲〶㐴愹挷散摡摣㌴㘳㘶摤㥦挲㔳愷摥㜷搴ㅢ扦晦敢扦敡摡ㄵ晢愶搴㘶㑦〴㉡ㄷ挷㕢㌰ぢ㜵戵㐶攲㠲㑥㑤㐵㔹㜱㑤㘹挵戸搹㉤㉢愲慤㌰㍥㌱㈹㕣㔲㔱㔳㕣ㄳ慥戱㄰ぢ㔷㔶ㄴ搷㤴㔴敡扤㔸搰㈴㤰挰摥㈰㠳ㄷ㜷㈴ち㘳慤ㄸ昷㠵慢㍡㕡㈷〰愲㘵㐰㠸ㄵ㥡㑣戹㕡㄰愵ㅥ戰㉢㜴挰〹㥢敥攸㝤摥ㅦ收晣晡㔷攵摢㍥ㅤ昲㙤㡤攲㥣㉡ㄵ㥡㠲㐰㤱愷㐲攱ㄲ㐷㕤㉡㑡愴ㄶ㌵㈵扡ㅥ愲㝡㉡㐸㘰ㅡ挸搰改慤ㅤ慢ㅢ㈳㑤㉢ち㡢ち㍢㘲㠵㉤敤㍣㕤㐶㥢慤㉡改改㤴㥤〱愲搴㥤㜶ㅤ挶摦㤸㜸愳㙢㕢摤戴搳户ㅥ㔲㌷愴攲敥㍣挵昳戸搴㘱ㄶ〲㘱㑦ㄳ㤵ㄴ㤷㤴攰㐴㥢㥡戶㑡慣戸㘳收摡㠷㘵散ぢㄲ㤸つㄲ㕡ㄴ㘹㙦㜶捤㔷㜳㤸㍥ㄷ㐴愹㥢敤㍡㑣搸慤愵昸昲㔱户捥㍣㙦攳㤳㤱㍢晡慥扤㔱㜱ㄹ㈱㜵㤸㡦挰ㄸ㑦ㅤ搰㔵换㑤〵㙡㡡换㕣晤㘲〱㤵㉦〴〹㉣〲改㍢扢愵ㅤ㘳㠹㕤㠲㌳攵㘲㈶敥〷愲搴㜵㜶挹㌷敤晦敤㑤㤷晣晡㤰ㄹ敢㉢て㍤㘱攸户㜷㝥慣㝡㈳㔹㑡摥ㅦ㠱㘲㑦挹戰㍥㕣敥攸愲㈵㈵攱㌲㘷慦㍣㠰〵㉣〵〹ㅣ〸ㄲ㤲搲挷ㄵ戶㤵ㄵ捥㉣㥤㠷ㅡ攸㠳㤸㝥㌰㠸㔲㔷摡ㄵ搸㙦搸ㅦ昲扦ㅤ晥挶搴搳捦㉡慦㥤㔹昷㥦慢ㄴ搷㑤㔲㠱㐳ㄱ愸昶㔴愰愲㍣㘵㝡㐵㜱㜹㤹㙢㠰愰慢愶捥ㅦつ㉣敡㌰㤰㐰〴㘴愴㍤㝡㈳㠹挲㜸㜴ㄹ捥㌰㤱搶挲㑥慣愱愴㜳摡攸㌴㌲㐷ㄳ㠸㔲㥢敤捡ㅤ㌸敦㡢捦㜳㜶㝤㜴摦つ㙦ㄶㅦ㜸敦ㅦ㥦㝢㔳㜱㍤㈷ぢ挰㈸㠵㘳㈰㠱㘵㈰愳㜰㉥㤲ㄹ㙢㕣㘱㐷㔷愲戵愳㘳挵挴挲㘹㐰㝥搹摡㐲㌳㕦愱㄰㑥㔸换㤹慦〵㐴愹ぢ散㐲㕥㌸攷㤷㌷㑦㝡昹㤰改㈷㥥㝤㑢攷㈵㜳戶㝤愰戸㕥ㄴ〴㔶㈰㌰挴㌹㘱㤵ㄴ㕢戳㔵㜹㜱㜵㘹㤵㙥愵慥㌶㤰㐰㍢挸搸昹㉤㉢㌱㑥摢愳㠵慤搱昶㘵㠹攵攳ち㍢㍢扡攲㤸㥥ㄲㅤ慣㐴㐷㔷㝢㜳ㅢㄶㅣ㌲㕢改づ㘶㕤〹愲搴〶扢ㅡ挷㝥㜰搸㤲㡢ㅦㄹ㕢㜷摤㐹て摤㌱㙣挳ぢ㔳ㄵ㔷慣㔲㡤㌸〲ㄵ捥㙡㠴挳㘵ㄵ挵㤵愵㘵㔵㤵㈵愵㔵㔵㘵㌵攵昶㡣㔰㕤㔳㕡㕣㔵㔲㔹㕡㔹ㄵ㉥慤慥愹〹㔷敡㑥㤶㤳〰〹㜴㠱㡣挰摣〰攰㤳戳㐳㔷㕢戴㜰㈵晡愷㘳㤲㔸挵っ慢㐱㤴晡戹㕤戱㥦て㜹攲敡㙦敥㉣㥢㜲㙦挱㙢晦㝥㙦晤ㄱ昷㉢慥愲愵ㄱ搶㔲昸㐸㤰挰㔱㈰㡥㐶㘸㡣㜴㐶㈷ㄶ捥㤸㌹㈳〹扦戵㕥㠸ㅥ㈱㡤㜰㌴昳ㅤ〳愲搴〹㜶㈱ㄵ㘳㤶扤㜱捤㙢㘷搷㥥晣扢扣㌳㉦ㅢ昳捦㙡挵㔵扡㔸㝦ㅣ〲㝥戳㐰㌸㕣㘱〶㈱㈷㠵㤲㜰戸捡搹晦搶㈱㥢㍥ㅥ㈴㜰〲挸㡥愹〹㍡㌹ㅥ摡捡昴㠹ㄴ㍡〹㐴愹愳散㡡㥣㜱挶昱捤㡦晥愶㘹昶摤㠳ㅥ㕣搵攷搹挷㜳ㄴ慦ㄴ愴㈲愷㈰㌰挶戹㝥慡㈸㉤慥㐶挱愹㈳㌹㉢㔴ㄴ㤷㔶敢㔳愹晣攷㈰㠱搳㐰〶捤㘸敤㑡㐴㜰㍤搰ㅣ㕤扥㤶㉢㈸扢搷慦愷搴改㈰㑡㈵散㉡扣昶摡愷㐳敥㕡愷愶晥昲摡ㄱㄷ㝥昳挵㍦㥦㔳扣㑥㤱㉡㥣㠹㠰㜷㔶昶㤹㤴挳攱ㄲ㝤ㄶ昵㙥〰〹㥣つ昲戳昹昱㡥收㉥戹ち挳㤴摣ㄴ㡦愲㠱ち㘳㌸㤱㜷挴挷㘳〱摢㈹ㅤ戳㘸戴㍥㠷戹捥〵㔱慡捤慥捤ㄱ慦㕥ㄶㅤ㍥慥㘱捡㔹ㅢ㕥戸戶敢㠴ㅤ㡥㔱扣㘰㤲摡㥣㡦挰〴捦〴㔱㔲ㅣ㉥㜵捥捥愵㘵愵ㄵ㤵捥㜶搹挸ㄲ㉥〰〹㕣〸㌲㘸晥昲㡥捥㤵换㌱ㅦ㈴㜰㌹㤵㥡愸㌶㔱敡㈲㄰愵㘲㜶㍤づ攸晦攴昰捤挳扦㥥㜷㠷扥㘰㘵㕥㥦ㄷ慢搴㡥㐸㤶㝡㕣㠲挰㈸捦戹ち愷愷搴㜹戳戴挴㍡㔹㠵换捡㑢昴㘶慡扥ㄴ㈴㜰ㄹ挸ㅥづ㘰㘶ㄹ㘰愶ぢ㌰攳ち攷㔹㜳㐹攱㈸㈰戳㠵搹戶㠲㈸搵㘰搷愸昷愱户慦昹扣攲戶扡㡤挷㍥昳挲〳ㅦて搹愶㜸〱㈹㌵扡〲〱敦㔹愳慣ㅡ㤳㠷扤摡㉥㉢慥㜶㑤㤶㔷㐲㕥㕦〵ㄲ昸〵㐸㘸㑥㌴戱㍣搲摥搱㥡散㈴㔷㌳晤ㅡ㄰愵づ戰ぢ摦搸摣摥㌱攰㡤愹㜳㝦戳㜳扣昶摡慦㘷㥤愴㜶㐲戲ㄴ㝥㉤〲摥愵㝥㘹㜱㐹愹㈹扣愴戸ㄴㄱ挷㔴㝤ㅤ戵㕦てㄲ昸ㄵ挸捥昳㤷搴ㄷ慥㑣㜵ㄷ攷㔲晦〶㑡摥〸愲搴〲扢ㅥ㝦ㅡ㌴攸昰捦㑥换㥢㝥改㤵挷㝤扣㙤㑥换㜷㡡搷捥㔲㡦㥢㄰ㄸ攷㘹㤶㌰㘶㑥㐷挳㜰扥㤲㘵㐴㘹㜹㔹㜱愵扥㤹敡㙦〱〹晣〶㘴ㄷ㑥敡ㄹ㤶㝢晡㔶㡡摥〶愲搴㍥㜶㑤㕥㕤㜵㔰㝤㝣攴愳㜳慥㥣㍦㙣昸㙦搷㥤戶㤷ㅡ㠲㘴愹挹ㅤ〸㜸㥢愳ㄲ㠳搷㈰㔲㔱ㅣ㜶昵搱㍢愹晣㉥㤰挰摤㈰㠳〸㠸愳㥢㤸㤱㝢て愵敥〵㔱慡摥慥㐲㝣晤㍥慦㡥㍡昶㤰㝤㉦㌸昳㤷㙦ㄷ慣㈹愹㔰扣㝤㈰㔵戸ㅦ㠱扤搲挶㑡㐹㐵戲づ㥣挳㉡摣搳〹㤶挶㡥㔶㝡㠰挵㍤〸ㄲ㜸〸愴㡦戵慣戱㈷㤱㠷㤹昶〸㠸㔲㝢搹㔵搹戲㘹摣㠶㠶换㡥㥤㝤搳戶挷㡦㝥㜳搳戶〳搵㉥㐸㤶慡㍣㡡㠰户㝦㠴㡢换慡っㅡㄸ挲㠸㌸㑡㝥㡣摡ㅦ〷〹㍣〱戲戳㜷㈲㜳㕣ち㍥㐹挹愷㐰㤴慡戰敢戱搷戵敦晣㘱搸愱愳㘶㙤扤昶晥攰攴㉤捦㍥搱攷㘹㈴㉦戰㉦㑦愷挶㈳慢㜱挱㥦扡㤷㠰㝥捡㝦㍤摦㐴挱㍤㤴㔸㐵慣㉡ㄶづ㌷㔷㤴㐴捡㈲㜹扣㕥晤愱㔷敢㍣㠱昵㠹敤摦搲摥摣戱㕡㉥摦㠷㑥挱㝣㤸扡㘲ㅢ㙢愷㑤攱㐹扢㜳ㄷ晦挴㐵〹捣㔹㍢㝢搳㔲㑡搲戲㉤挲捤㡤㘸愷㤴㌷摣㥢㙤㐹愴戵㉢㕡户愶挵㑡ㅥ收㐹挶慤㡤㡥挶捣愹搳攳搱㈳㤲愹㘹㌵慡挳慣扦㑡㜴愷㔹㘹㈵㔹昵㉡慣挷㑣ㅣ㙤㤷敡㡤㙤㥢摦搲戴㈲ㅡ㕦ㄴ攵㥤扢㘸戳㤸扡㈳㤳散晢㉢㘳攷戵挳㔰摣㌱㘹ㅥ改攴挶愶慤㐹㐴摢㥢愳捤愸㉦搶ㄵ㠹戵㡢㈳㡤慤搱㐱㉥ㄱ慢㑣㈴っ㜱戱愷㜷㌴㜵㜵攲㙡㌳ㄱ敦㘸㜵愷搴㌵慦攲㔵㕥昳㥣㡥收㈸㙥挹攴昲挸㔲㔹㌹㌹㑡㘵㡤昱扢ㅦ㐰扤㥤挵搲㄰㡥㈶收ㅤ㥡挱敥㙥㔷扣㄰搶挱㡡搶㈸晢㘴昶敥㍤㈸ㄳ扤㔴㌳㍡戳愰挳㈶摥收愴昴愸捣搲㔲挷㘴换晤㙦㠵戳戳〷搸搶㑦㕢㠵戳晤㑣㕣ㄵ戵㐶攳摤摥愴㔵慣㤱晥㍤㐸㕥㈹㐶㜳㐶昴戸ㄶ㔴㙢搴摡扣搵㉤捤㠹攵㠱攵搱㤶㘵换戹收挴㡤摣晣㝣㐲㥢㜶攸㘷挰搲捦㤲㍣〷ㄲっ㘶〵㥥愷㔰㈰愸㕦戰攲㜹㈳昱晦昶摦㔱换㐶㉥㉤㜷昰㜰扢戵㌳慦つ昷㠲㍡㜳㜲晣慣㥣ㄹ改㕣㥥㘰昷散㍥㤱晡㕥㈴㜹〹㈴㙦㜷㤰ㅥ㙦搸㜱摤㥥换晢㤲㝤摢愶㐶㘳ㄱ摣つ㤶搱慤㈲㜹㙤搶つ挶愹搱捥㈶捤㍢㤱戳㌰㔶搶〴㄰挲攰敦搳挶摥ㅦ㕤㤳㤸ㅡ㐹㐴㝡戵攱㥥㈶㕡㐹㐳㘸慣攴戲㐲捣搹㔷㜸㈶㜷搰㡥㐱㐳㐸㠲づ㉤扤㠵㘱㘹挲挰挱㜸挹捡戱㘹昷㐶愰敥挳㘱㐴挰摢搱摤昷㈶㜱换戴㜹㐶戴㝤昱摡㤵搱㑥㡡攷〷扡㠵搲㍢扣愸㙣㕥㔳攳㝥㠹㤶搶捥㘲搴㜴㐶扣愳㙢攵㝦㔳て㜵改㤷㐱捣㤱㌷ㅡ扤昸㠷摢〴戸戲㝡慤㘲摢㌴㌴㘴攵㔳ㅢ㌹㝡㌷ㄲ昶㔶㈸晢ㅥ晦挹愱㕦挷㝦挱敥搲昲㡡㈰戱㍤昷㜱昳㈰摦愷つ〸㉤㡥㐷攵捥㜴扥㐴㠰㜶摦戶晤㍢攲㉢ㅡ㜱㤵换晥搴㑦㘲㥤换愳搱〴敦昶昶戶敦㙥换㕤㙣愵㜲㜲㕣昷㘳ㅤ户㠵㜷㠵晥挰㥢㈰㝤敢㕡㕢ぢ㡤挶捥挰㕢㘰攵攰扥㜳攰㙤〴㡡㘷搷搷昱㐶慦㕣㕣㕢ㄷ㡥㥤攳ぢ敢攳搸摡挱㠵攴㤴㐸㙢敢昸挲㔵攵㔸昳㌷ㄷ慦㘹敤㕣愳㜶〵㈶扣〹昸敥攰㝦㌶扦㍥敤搷昳㌶㝦㜶晡ㅦ晥昳晣晢㜱㌵摣㑥㐸扢慤扢〷㑡改收扣敤扡㤳㍡㄰戲慥昳㜶㥦搸昴㤶㔶摣慤㤴愹戹㈰㠶晦慣㝤〴㠹昷攵改〸㜷㌱慤㍢昴〳㘳昵㌸㈳㘱攳㈲戱㌶㜵㡥㑥㍢㈳㕡㈷㡣晦㜷摥晦挹㥤昷攵慣敦㍡昷㜷㜳㕥㐵愷昱㥣昹扢ㄷ㜶㜴㈲㥥昲㝣㐷愹㜴愹㘲㘸㜶㜷㌲捡㝢愷ㄴ搹㥤㐹捡㍢㍢㈱愵㑢㌲慦〷搸搹搳㍢㈹㌳㘵㍣昷晥扦㤵㡢摦昶戲戵㜲㜹ㄷ挰改昷㐸摥㈷昹ぢ挹〷㈰㙡㌰㈶㈳慥㘸㌶㘱戹㌰ㄲ㤳晡㙦昱晦扢㌲戹晦㡤㌲㝦㈷搹〶㠲㜵㠹捣昴㔸㤶晣〳搱挰㐷㈰〵㘶㝢愹搰敡㘲挱㉣㌵ち㙣㉥㔷昴挷㈴㥦㠰昴昹ㄴ㘴敥捣㘸㉢㔶挱晦慤㉤摤扣㌱搰搹晤㜹ㅢ晤㘷〷〸つ㙡㕢戴戶扤㘹㜹扣愳ㅤㅢ敢㕣㑥搴㌵㘱㑦戴㔳㐵〲㙤戳㍢敡扢ㄲ㠱戶㤹㉤昸慦㑦摢挲攸捡㘸㈴㔱㡦慢ㅣ慣㔵㘶㘳换㑣㔶㈲戳㥡搷晣晦戹㔲㤱㕢㡢戸㠰㑣㉤㔶㤴㜷昴㕡㙢〶ㅢ摥攲愹ㅤ搸㕦㡦㡡㙢〱㘱て〴戰敡晣〹㉥㐵戲昴㘷愸摤㤶㑦慦摢戳攸搲㕦㝦㙦晦㝦ㅣ㝡愱ㅣ㝡㌴ㄲ搳㤷ㄵ㕦㠰ㅢ散㉥㑤㡤㠵〴㤷ㄶ㥡愷昲挰㌷㈰㌹攸〶晡㙤〴㔴㉥㔴晢㥥㡤㜳散㠴戴扤扡㘲㘴ㅢ㠱㍦晤ㅦ收㔷㄰攳㌸㐱搸㝤㘸㉥㠵㌴摢㐸㘷㠳㌸挶〹㕤㍦㄰㔵ㄳ㤰㐱挶㐴ㅥ㠵〲㈰㉡っㄶㄷ搰扡ㄷ㘲收㔰㕦晤〷㙢㌲㤴㐱㥥㉥㈱㐹㕢㕢昵㐶㕡戰扢㌴㔵㡡㝣㐹㄰㌴㔷㌰ㄶ〰ㅦ㐱戹㉦〰晦戰ㄳ搲昶〷㉢㤰㜷〴昳て㐴愱㙡ㅢ挴晣〱ㄸ㠴㘴扤ㄳ挹㘰㄰〷〰㍢㕢㔱㔵〹㈵〲挰㉥ㄴㅡち愲慡挱ㄲ〰㠶㈱㘶づ昵㡥ㄳ㠰㉡戰搳〱ㄸ㐱㥤扡㥢㌴㔵㠳㝣㝥〰扣㥡〹㠰㔷散㠴戴㉤挹扤愰㘹〴㙢㌱㠶㔵㝥㈹㈳〰攳㤰慣挷㤳ㄴ㠳㌸〰㈸戱愲㙡ㄲ㤴〸〰㘱ち㤵㠲愸挹㘰〹〰㘵㠸㤹㐳㍤敤〴㘰㙦戰搳〱愸愲㑥摤㑤㥡慡㐵㍥㍦〰ㅥ捥〴挰㐳㜶㐲摡ㄶ㘸㍤㌴㡤㘰㉤㙡㔹攵〷㌲〲㌰〵挹扡㥥㘴㉡㠸〳㠰改㔶㔴㑤㠵ㄲ〱㘰〶㠵㘶㠲愸改㘰〹〰戳㄰㌳㠷扡摤〹挰㌴戰搳〱㤸㐳㥤扡㥢㌴㌵〳昹晣〰昸㔵㈶〰慥户ㄳ搲昶㕦昷㠱愶ㄱ慣挵ㄲ㔶昹摡㡣〰ㅣ㠰㘴扤㤴攴㐰㄰〷〰〷㕢㔱戵㉦㤴〸〰㠷㔰攸㔰㄰㌵〷㉣〱愰〱㌱㜳愸慤㑥〰㘶㠳㥤づ㐰ㄳ㜵敡㙥搲搴㕣攴昳〳攰㠲㑣〰㙣戴ㄳ搲㌶㝦ㄷ㐰搳〸搶愲㤵㔵㍥㉦㈳〰敤㐸搶ㅤ㈴㉢㐱ㅣ〰挴慤愸㕡〸㈵〲㐰㈷㠵ㄲ㈰㙡㌱㔸〲㐰ㄷ㘲收㔰敢㥤〰㉣〲㍢ㅤ㠰戵搴愹扢㐹㔳晢㈱㥦ㅦ〰敢㌲〱㜰㥣㥤㤰戶〷㝤〰㌴㡤㘰㉤㑥㘰㤵㡦挹〸挰㐹㐸搶㈷㤳㥣〲攲〰攰攷㠸〶㑥〳改㠵ㅢ〴㔱㙣㝡〵㤵㕡ち㠵〲挶㝡㘶㌸ㅤ㐴ㅤ〴㤶㠰㜱〶㘲收㔰㥤㑥㌰づ〴㍢ㅤ㡣戳㈱ㅦ搴摤愴愹㠳㤱捦て㡣㤶㑣㘰㉣户ㄳ搲昶挳ㅢ愰㘹〴㙢㜱ㄱ慢ㅣ换〸挶㈵㐸搶㥢㐹㉥〵㜱㠰戱挵㡡慡挳愰㐴〰搸㑡愱换㐱㔴㈳㔸〲挰ㄵ㠸㤹㐳ㅤ攲〴㈰〲㜶㍡〰㔷㐳㍥愸扢㐹㔳㑤挸攷〷挰愲㑣〰㉣戴ㄳ搲昶摣愳搰挴慢㜴晤㙢ㄴ慡㙦㈲戹㤹攴ㄶ㤲摦㠰愸搹㌶㈸㝢收㘴㘵摤ち〶搷搳慦攱㝦散搰㔰收㜶㤲㍢㐰ㅣ愰摣㐵摥㐷㄰挱㕡㈱㠶晦〴㤸㝢挸扣ㄷ㐴㜱㥢㥥敢摤㉣㝤ㅦ愲ㄹㄷ㑤换㈸㤱戶㕥㜸㄰㔹㠲扡㥢㌴搵㠲㝣㈹㜰戸㘸戲搶ぢ㌵㤹挰愹戶ㄳ搲㝣〵㕡㤱㜷〴昳㍦挹㙡㔷摡㐰㠰攱㍥昴敦㤰慣㥦㈶昹㍤㠸〳㠸㘷慣愸㙡㐳〶〱攱㔹ち㍤〷愲㍡挰㤲摥昱㍣㘲收㔰攳㔱㐶㜲挱搴づ㜶㍡〰㉦㔳愷敥㈶㑤慤㐴扥ㄴ〰愹〵搳㙥㤹〰ㄸ㘹㈷愴㜹㈹㜴㐲搳〸搶攲㉤㔶戹㌰㈳〰㝦㐶戲㝥㠷㠴㔷㕡づ〰摥户愲㡡㜷㡣〵㠰扦㔰攸〳㄰戵ち㉣〱攰慦㠸㤹㐳敤攴〴愰ぢ散㜴〰㍥愴㑥摤㑤㥡㕡㡤㝣㝥〰昴捤〴㐰ㅦ㍢㈱捤ㅢ㘲㉤㌴挹昰昸㠲昵晥㤲攴㕦㈴㕦㤱㝣つ愲〲㌶㈸㔳㌱㉣㉡挰攰昰ㄸ㠱扦㉣晤㙦捡㝣㑢昲ㅤ㠸〳ㄴ㉥㠷捤昰㌸ㄲ㤲〲㡣㐲ㅥ㥤つ愲㡥〶换ㅡㅥ㌹㠸㘶ㅣㅥ㐷戱㡣戴攱ㄱ㐰㤶愰敥㈶㑤ㅤ㠳㝣㈹㜰㔲挳攳昳敦㌲㉣愷㍦戳ㄳ搲扣㌸搶㐱搳〸搶愲㠰搵晥〴㘲晥换改晥㐸搶㍢㤰っ㘰敤㔲搷摤㍢㕡㔱㜵㍣㤴㡣愴愲㐱ㄴ摡〹㐴㥤㠸愸昴㡥挱㠸㤹㐳㝤㠰㌲㤲挳攳〴戰搳〱ㄸち昹愰敥㈶㑤㥤㠴㝣㈹〰㔲挳攳㡤㑣〰晣挹㑥㐸昳ㅥ㌹ㄵ㥡〴㠰㈲ㄴ慡㕥捦〸挰ㅥ㐸搶愳㐸㐶㠳㌸〰ㄸ㙢㐵ㄵㅤ㐹㐶搲㥣㜱ㄴㅡて愲搶㈳㉡〰ㄴ㈳㘶づ昵㥣ㄳ㠰搳挰㑥〷愰ㄴ昲㐱摤㑤㥡㍡ㅤ昹晣〰㜸㍣ㄳ〰㡦搹〹㘹扥㉢㘷㐱㤳〰戰㈷慢晣摢㡣〰㑣㐲戲摥㥢㘴㌲㙢㤷敡〱㜵㔶㔴㙤㠰愲㤱㌴㘷ち㠵敡㐱搴㌹㠸ち〰ㅣ㔹收㔰昷㌸〱㌸ㅢ散㜴〰㘶㐲㍥愸扢㐹㔳攷㈲㥦ㅦ〰㌷㘷〲攰㈶㍢㈱捤㕤㘶㈳㌴〹〰ぢ㔸攵ㅢ㌳〲戰〸挹㝡㌱挹㝥慣㕤ち㠰晤慤愸扡〰㡡㐶搲㥣〳㈸戴ㄴ㐴㙤㐲㔴〰㌸㄰㌱㜳愸㕦㌸〱戸㄰散㜴〰づ㠵㝣㔰㜷㤳愶㉥㐲㍥㍦〰㉥挹〴挰挵㜶㐲㥡㥦捥㘶㘸ㄲ〰㤶㐹㤵㌳〲搰㠲㘴㝤㌸挹ち搶㉥〵㐰㥢ㄵ㔵㤷㐲搱㐸㥡搳㑥愱づ㄰戵〵㔱〱㘰㈵㘲收㔰ㅢ㥣〰㕣〶㜶㍡〰〹挸〷㜵㌷㘹㙡㉢昲昹〱㜰㜲㈶〰㑥戲ㄳ搲摣㠲慥㠴㈶〱攰ㄸ㔶昹㠴㡣〰ㅣ㠷㘴扤㡥攴㜸搶㉥〵挰㠹㔶㔴㕤〵㐵㈳昱愷㑦愲搰挹㈰敡㙡㐴〵㠰㔳㄰㌳㠷㕡敢〴攰ㄷ㘰愷〳戰ㅥ昲㐱摤㑤㥡扡〶昹晣〰攸挸〴㐰扢㥤㤰收㥡㜴ㅤ㌴〹〰攷戱捡慤ㄹ〱搸㠸㘴㝤〱挹㠵慣㕤ち㠰㡢慣愸扡ㅥ㡡㐶搲㥣㡢㈹㜴〹㠸扡〱㔱〱㘰㌳㘲收㔰㑤㑥〰㝥〵㜶㍡〰㕢㈱ㅦ搴摤愴愹ㅢ㤱捦て㠰愵㤹〰㌸挰㑥㐸昳㠹扡ㄹ㥡〴㠰㙢㔹攵㈵ㄹ〱戸ㅥ挹晡㔷㈴㌷戰㜶㈹〰㝥㙤㐵搵㉤㔰㌴㤲收摣㐴愱㥢㐱搴慤㠸ち〰户㈰㘶づ㌵挷〹挰㙦挰㑥〷攰㜶挸〷㜵㌷㘹敡㌶攴昳〳愰㍥ㄳ〰㔳散㠴㌴㔷㉣㝡㔴〹〰て戰捡戵ㄹ〱㜸〸挹晡㘱㤲㐷㔸扢ㄴ〰㡦㕡㔱㜵ㄷㄴ㡤愴㌹㡦㔱攸㜱㄰㜵て愲〲挰ㄳ㠸㤹㐳㔵㌹〱戸ㅢ散㜴〰㥥㠶㝣㔰㜷㤳愶敥㐵㍥㍦〰挶㘷〲㘰㥣㥤㤰收〸昶〰㌴〹〰㉦戱捡㘳㌲〲昰ち㤲昵慢㈴慦戱㜶㈹〰晥㘸㐵搵㠳㔰㌴ㄲ㝦晡㑦ㄴ㝡〳㐴㍤㡣愸〰昰㈶㘲收㔰㈳㥣〰㍣〴㜶㍡〰敦㐰㍥愸扢㐹㔳㡦㈰㥦ㅦ〰㍢㘵〲㘰㤰㥤㤰收㝥昶ㄸ㌴〹〰摢㔸攵㠱ㄹ〱昸〷㤲昵㐷㈴ㅦ戳㜶㈹〰㍥戵愲敡㜱㈸ㅡ㐹㜳㍥愳搰攷㈰敡㐹㐴〵㠰㝦㈲㘶づ搵摢〹〰㍤搷搲〱昸ち昲㐱摤㑤㥡㝡ち昹晣〰㔰㤹〰挸戲ㄳ扣㝥㙦㜹扦㠷愶敤昰㔷敡捤ち挷㤶戴㐴㔷搳挱愲㕦っ捦愸搵㜷挱㘵㕥扣㐱晡挶愶㜶捣敤㐸㑣㙤改㕣搹ㅡ㔹㍢㈰㘶〷昶㕦ㅥ㙤㠷慦㔶ㅣ㉥㕢ㅥ㕥挷捡㤵搱㘶ㅤ㕢㈴ㅥ改戳愶晥ㄴ㝣戹㘰ㅦ㥡㑥摣戸戲ㄵ㡥ㅦ攷㥥㤴㠵㥣攸㈵㌸戲昲㥥㠱㐲慦㤷㠹㘳㉦㌶戵敤ㅦ㠲㘰㐱ち搱挵㉤㠹搶㘸敦㤸愴㑢㌸㍦〶ㄴ攱〰搷摣㉢戶㜸㌹扣㉦愶昶㡤捤㠸户㌴搳戹㥦㡤〱㔷〲㍥昸㌷㍢扡っ捥㙥昳㍢㍡㕢昸挸㕣摦搸㘲㜹㌲㠹㝥㍢㑤㙢㜷㜰挵㘴㕢㉤㉦㌶愵愵扤ㄳ挵㐸㉢㌲㕣㄰㕢戴扣㘳㌵㥥㡦敤㙡㙢㥦ㄱ㔹搹昹㤳㘸ㄵ挵㘶㤱㐳㥡㐶㘵慢散㙣㤵㥦㥤晦㘳摢㈷愰㜰㔳㘸㄰㍣㕦摢攵挹挳㐲㜴搵㐴扣愵戱㡢㤸㐹㌱愵愰戹㈴搲㡣㔹㜹捦㈲搴捤㡥㍡昷搵㙤㉦㐴㝡搸戱扡慥愷晢㝣㥤扤㤲捦ㅤ㜳㉦㕤㘷愳㐶㝤㜲㐰昶㤹戱摦慣㤴敦改晦改㈱摥扣攷愰搹扢㑦改敤㝣㐹㔷扦ㅤ㈱摣捦敡㐵攴戱㔳㘱㜰愲㌳㌰收敤㤹挱㤸挸戰㤳昶㑢〵愷挳㕢慣㑦㙣㜶愴㌱摡㡡ㅤ改戶㐸愲㥦ㄵ愱㜷〱㥥昰散戴搳敡㍢摡摡㈲散㜵散戱㡢㥡㈲慤搱晣㔸㕤㔷愲〳㡦摦改ㄸ㠸㜴㑤㥢ㄵ㔹〳㔶㘴㡤戰晡挴ㄶ搲昹㔵挲搴搵戱㉣ㄲ㙦㐹㉣㙦㙢㘹捡㘷㠴づ慡㍦㠹敥㡡㈹㈴ㄷ㘰㥡挳㑣㈷摥㝤㜲㙢挷ㄸ捤㕤㡣㕤㝢㐲挷收㐷愷捥㔶〱晣㔳㍦搲㌷ㄲ㤳㡦㥣㔳㌴㥦㘲捥攳戹㠷戳㤱ㅣ㥦昰づづ㡦㑦㡥㐳㐰收㈷昵〲愲攴敡〰挴ㄹ攰㕦敥㡢㈰摤㍡捥昵㠲㐰㜰㜶㐷愴搹㝡㉣愱㤷晤搰㜹㍥㥡㜶㈵㘶㥢㜸㠸慥㡣昵昰㡥㠵搷敤慡㤶收㘸㍣㥦㡣㐵搸晢捦愵ㄳ㘴挰㙡㐳散ぢ攷㘴攵攵昵捥昷㉢㙢㤶搱戵扢敤㈰收㝣㘸㝦㔶㥡晥てㄷ㔴㑦㐶愵㘰㤶㥣愵㝡挱ㅣ㥤㑦㥢㕥〲㤳昶㜸〴昸攰扥づ㠲攴搱ㅤ捦摢㌶㙥慦㐲昸ㅥ㙡〸攵捡攳摡昴㜷捣㠷㙦愰㌸㑡收㠹㈱扤ㅤづ㡥〱换户㌱摦㍣〳ㅥ㔸㠴㕥ㅥ㙤づ㕡㔳㉣㍤ㅦ搸ㅣ搹搹戹㘸敡㠰搷挹㉣慤㔸㈸㙢㕢ㄴㄵ捦㐷㌵ㅣ㔵〸昴㐶㡤〷㜱戰㐰㝦㠳晢〱攸戴愵㐴㌰愸晢㐲㍣㉢愸㕥〷㌵ㄸ㜰挷搷〶愹ㅦ㌱㈸㈰〶敦㠲搹捤㑣㠱摤㝢㠷昳㔲㍦〸〷㘲㜸昸㉢㠱㐱捣扡㑣㙦㐹愰㍡㝤㘲㈰〸㡡㤷搱捥㌲戸ㅤ㤹挶㈶搷つ扢愶㈷戹ㄶㄲ挳搳搳㥤㉢㡢摤㝤㤲慤㌵㠷㘳愹搱㤳㤰慣㍤㝣敡昸㔳㕡㡣㈸换敢挴㕥㡦愸愲捣㍥㕡づ摣㜹㌲昹㍦㉣㕤〲㈱昴㠶㕣㍥㐷慤㜴㝦〴㌱ㅤ㜰㈹愳㜷㐰㤸换㤹昷㝡散㈷づ扦㌵づ挴㈰㤷㌴ㄶ慦慦敤ㄸ㌹慢扤ㄳ㌳㐲搰㡥㘱扥敦㘷〷昱㘸㤳㉢㈵戲㘶㠰㥤〲㙦搰㜹敤㌸㑢㌷㐵攲捤㍦㤱㈹ㅥ戶㔹㡢ㄱ㤹慤㝦攴㐲ㄱ㑡㜸㌸㈶㘶㉣晤〷搸㔸扦㡦㤴敤㜱晢㉢㠰㝣㕦挲㥤昴〶捣㘷㡣慦㔵㤰㔶戰㥥昳㤲㔵晢晣㈸ㅥ〲挵㡢㈶㕡愳〳㈴㐳㌲㉡搳㤹㡥搵㌵㜶㘲〵㤸攰戹摤づ挹㘸搷戱㠵搱㔶㍣㔱扥㉡㡡㔳戱ㅤ㥡摦㤴㠰㤳㙢㔲〱ㅦ换昸改戴㄰㄰挹戵㕢㐹㐹㍢〵扡㤹攴摣㐶㜰㈰晤挸㔶挵晣ㅥ㤳攳愳挹敡攲㡢㜸㕣㍢㌹换〴散敢㠲扦㐰㝤㌷㉢㑡㑣戸㑥ㅦ㑤㡥愴〱挶㜵搸㥡收㘴〶敢㘳㜸㕣㜶昶攵ㄵ㐲㍣㠱㘷㤷昸㤶㠹〲づ㥤㔶㥣㤷ㄳ㉤㔸㘱戵慥敤ㄷ挳愳㠴慤㕤捤㔱㔹㥥㤹㠹㕢㔶㘹㍦㠹昶愲㤳㤶㍤愲扡挱挵〶㘵ㄶ㕥搲㘳㥥㘵昹昱㤷㘹㝡㈰㐶㥡㥣㌵愱㈳愸〷搹攳敥〳㔴㘴扢ㅤ㘲㠳挸戴㐳捡㥤㕢㕥摤㠲愹㉤㡤挵㌹㡤㕥㡤㐹㥦㕡ㄹ㜱づ戱搹ㅤ㜸捡つ㤷㜹づ搶捣ㄶ㡢昵㤳㘸㈷搸㘹㌵㔳㈰㠰㐵敡㡦ㅣ㈱㔴㠲㔹㑦晥挳㙡搴晥ㅦ敢㌷㙢㔱晡㌷㌰㜸攱㥣ㄵ搸〹㙤戲晢て㜹昹〷㠴㜳戲㜸挵㤶㥤扡㙣㔳㝦㐷㥣㤷㙥㝡㌰搴愸㙤〸昱㡡〸㘷㌴捤搳㥣摥ㄹ愴摢ㄵ戲摥〵ㄲ㌸敤愹㝦㐸㉥㘴ㄹ㑡㐵㜶㐴㝤㡣㠰㔹㔵㈱〸㐹㔹㝡づ愳敥攱ㄴ晣挴㕦㘰㔷ちㄴ㠲攴㝤〶〱敦㡣㤴搱㤱ㄴㄹ戲昲摡戸㠲捣㙦攳㑡ㅡ攳㌹㠰〷㜴攰㈸㡢搵㜸愰㜷晥愷㐸搷㈳㈰昵晢愷㥦㥥㠴㜰㤶晡〲挴㔴㜰㌰挲㜶〵㐷戲晣摤㐰搴㝦挰攴㍤㈰挷ㅤぢ㥥昰㙤昰㜷㠷挸㐰晢ㄹ晦ㅥ慦㤱攵㉡㐳挰㉥愲收㙣㘸戱挰戶㉦㐷昶〰户㕢戰㜹扢㐴㜱ㄶ㈰扥㝡ㄴ㤵戰㘲晣愳扦愶戱㠳㔷㌴戶ㅤ愳㈱愳挷㔰㌰攰㉦㌰㤶〲攳㈸㐰昷㑥慥昳〳攳ㄱ摢摤慣㥦㌳扥扥㠵㙦㙥㜹ㅥ攲昰〱戵㍢㈹ぢ搵ㄳ㤰ㄹ慢㘹晡㝥㥡敡㑣㑣㔵愷㠴愵㠵㔹ㅡ晤㌴扤戰づ〲捦敡搳愵㄰搹㡥㥢て㡡ㅥ㥤〲㙣ㄹ㜵搳戵搳〵㙣〵戸㍤〳㑢ㄷ㔰晣昰㝥ㄸ㉡㐱㐰晥攸〷㙡㉣〱捦〰㕢〵ㄹ㕤㑤挱愱晥〲㌵ㄴ㤸㐸㠱㘱㄰㄰㘰改㘷搳挷〰ㅢ挶㘳昳㝥〰㑥㠲㄰〰ㅣ攱搰敡戸ㅣ搹㥢㕡㈷㔳㉢晤㍣扤〰㡥〳捦〲戰ㄶ㈲㍢愵ㅥ攲敥戹㙢搲㈵㔴㄰慣愳㜲晡㠶扡㄰慣〷户㘷〴㑢㤰つ㍦戸㔶㔲〹〲昲㐷㐷㔲㠳㈰昸〶挱㘹〸敢改ㄴ愴㤳愹㡦挰っち捣愴〰晤㑥〵挱㔹㠸昵㌶〸㑥慤慣昱〳㜰㕦挸〰㐰晡㥥ㅡ愵㝢愵㑡㥤㑤愵㜳愸戴ㄶ〲㕥〰愷㠰㘷〱㌸ㄷ㈲摢〵㈰㕤㑡〵挰㜹㔴㑥摦㔲ㄷ㠰ぢ挰敤ㄹ挰改挸㠶ㅦ㕥㐵㐳㈵〸挸ㅦㅤ㔱㡤㈹攰ㄹ〰ㄷ㐱㐶㉦愶㈰㥤㔴㝤〴昶愳挰ㄲち搰㙦㔵〰摣ㅦ戱㘴ㄷ㥣ㄶづ晢㈲戸ㄴ㐲㐰㤰捥慢㐶慢㘳っㅦ㐸慤〷㔱敢ㄲ〸㜸ㄱ愴㜷愹㠵攰挱㄰搹㥥㌱扣ㄴ㌹〵挰㐳愸㥢扥愹㉥〰ㅢ挰敤ㄹ挰㠳㤱つ㍦扣挲㠶㑡㄰㤰扦㐳㐰㡤㈵扣敤㘴㑦㡥ㄱ挸攸㐶ち搲挹搵㐷愰㠹〲捤ㄴ㘸㠰㠰〰ㄸ㐵㉣〹㈰ㅦ收昷敢㠲换㈰〴〰改晣㙡戴㍡挶昰㜲㙡㙤愱搶㔶〸㜸〱愴㜷慡〵攰攱㄰搹ㅥ〰改搲㉡〰慥愰敥㤵㠸戹〰㙣〳户㘷〰改〳㡢ㅦ㌶敢愹挴〰㐸㐷㔸㘳〹㜸〶挰づ挸攸㤵ㄴ攴つ㕤ㅦ㠱㈳㈸㄰愷〰晤㘶〵挰㑥挴㐲㘶〸㠷ぢ㔷㉣㥢ㄸ㉥昱㍤㤳㜴㐱㄰㈰慥㜵㘸㜶㠰戸㡡㥡㔷㔳昳〹㄰昰㠲㐸て㔷ぢ挴㌵㄰搹ㅥ㄰改ㄶ㉢㈰慥愵敥㔳㄰㜳㠱㜸ㄴ戸㍤㠳㐸㍦㕡晣戲昴搱㔴㠲㠰晣搱㠱搶〷愳㘳㈰愳㡦愵㈰㥤㙢㝤〴㡥愳挰㍡ち㥣〱〱〱昱㜸挴㤲扤㜰㕡㘹戸摡慦ㄷ㥥〸㈱〰㜸戶㐳㉢敦㡦搹㥤晦㈴㙡㍤㤹㕡㉦㠲㠰ㄷ㐰㝡挵㕡〰㥥〲㤱敤〱㜰㌳㜲ち㠰愷㔲昷愵㠸戹〰㍣つ摣㥥〱摣㠲㙣昸㘵改昵㔴㘲〰摣㡡㤰て㍥愷㐳㐶㥦㐱挱换晤〵捥愴挰㔹ㄴ戸〲〲〲攰〶挴ち㕣扤戰挶户ㄳ㥥〳㌹㘰㜸戵㐳戱愳ㄳ㥥㑢挵攷㔱㌱㝤㙣摦㠵㘸攰㝣挴昲攴愵㔵㑡㙦㐴ㄸ戵㤷扢㐳ㄷ㈰捣搵摢㑤㄰攴ㅤ㈲㜳戸敦㙢㕣㘸㑢搱㔱㤷昷㌶㘸㝢㑦搷挹㡡づ扤扣㔶捥搲㥢㤰㕤㝡㠲㕣慣㕤㙣㉢愳慦㉦㉦搸慣㈳昳㈵〵㥤㝥慤㌶扦〴㌹㤳㡦て㘷㝡㌷ㄷ搴愵㕦㑥摣づㅤ搲晡㥢愱㐲搱㜹搸㙡晤㉣㑤㘰昴㘵㈰摤戶扥摥〲〹攲㜴ㄷ戲攲㠷㜷昷㔰ㄱ〲昲㐷㑦㘳㥦ㅥ㜰㌹㜵㕦㐱挱㝢晤〵慥愴挰㔵ㄴ戸て〲扣愴搰扦㐰㉣㜹ㄵ昰愰㈳㕢〹㔲敤㌱㜲㌵戳㕤挳㙣㜴ㄳ昶㡥ㄱ晡〶㕢㜸晤ㄲ㈲㍦晣㉡攰㘹攴ㄳ㡣慥愵㘶晡ㄵ扢㐶挸昵攰㜶㡢㤱㕣〵搰晦ㄸ㍦戸㥤㔰㠹挱攷㔹㠴っ㍥㘴摡㜶摣〰ㄹ㝤㈳〵改愰散㈳昰㙢ち摣㐴〱晡㉣换〸戹ㄹ戱愰ㄹ㈱㉢摡晣㈶㤸摦㐰〴㠳攳㘵㠷捥昹愹㐲㙦愵捥摢愸昳㉤〸㜸挱晢㌳㜸ㄶ㜸户㐳攴㠷㠳昷づ昲〹㜸㜷㔰㌳㝤㤲㕤攰摤〵㙥捦攰搱㜷ㄹ扦㉣㝤㌷㤵㈰㈰㝦㝦〱㌵搸攴愷散戸〷㌲晡㕥ち搲戹搹㐷攰㍥ち摣㑦〱晡㍢ぢ㜸て㈰㤶〴捦㝦㥤晦㄰㐴〰摥㠷づ㥤㜳㔳㠵㍥㑣㥤㡦㔰㈷摤㤳摦㐵㐲攰户㠸〵㔷㉣挳㔳晤昲㍡㌶愵ㅦ〵〳㌵㤷改攵㌱㈶㘲搸㝣〹改捣搳换攳戶ㄴㅤ㥤㌹扤㜰㥢㈵㌹扤㡣慦ㅦ扡敤㥤捡愰昷㌶㥣愲㐳戴㌵扤㍣㠱散愹改攵㈹㕢搹搷㐸晦㈱搳ぢ㥤愶慤ㄶ晦ㅤ㜲敥㙣摥㑥㌰慥戰搱昳搶㌹㔴㉣㝤㘲昹ㄶ戹愵摤㥦㐶㘶昵ㅤ㘲㘶㘲㈱㉥晡て㈰摤戶扢㝥〶ㄲ㐴攸㝢㘴挵て慦㌱愱㈲㐱㤰㐰攰㥡搹㌴㉤㜸㘶攰㍣㐷摤捦㔳㤰晥摢㍥〲㉦㔰攰㐵ち搰愳㕢㈶㤶㤷㄰㑢㑥㉣㜴摡㌶搹收愵昴扥捣㙣慦㌰ㅢㅤ慣扤㘳㠳㕥搵ㄶ㔲慦㐲㘴㝢㑥扥㜴挵ㄶ㤴㕥愳㙥晡㘴扢㐶挷ㅦ挱敤ㄶ㈵㤹㕡攸扢㉤〸晤㠹㑡っ㐲㜴攰㌶㤶㌸㄰㝡〳㌲晡㑤ち搲戹摢㐷攰㉤ち扣㑤〱晡㝢换攸昸㌳㘲捥搵㑢㤵摦攴昲㉥㠴㌰㍥攸昴㙤戴㍡㔶㉦敦㔱敢晢搴㕡〴〱㉦㠰昴捡戶〰晣ぢ㐴〶㔸㉦晦敢昹ㅡ㤸㝥摣㠲摥〷㔴㑣㠷㙥ㄷ㝡㝦〳户㘷昴攸昸㉤攸晤㥤㑡っ㝡昴晥㌶㘶㌸搰摢〶ㄹ晤㈱〵改ㄹ敥㈳昰てち㝣㐴〱㍡㡢ぢ㝡ㅦ㈳收㕥扡昸摦㠹昹ㄴ㜲〰㤰㑥攳㐶戱㘳改昲ㄹㄵ㝦㑥挵㜴昰昶〲㐸慦㙥ぢ挰㝦㐲㘴扢慥㠳改ぢ㉥㈰㝥㐱攵㜴ち㜷㠱昸㉦㜰㝢〶戱づ搹〴挴慦愸挴㠰㐸て㜲㘳㡡〳挴慦㈱愳扦愱㈰扤换㝤〴晥㑤㠱㙦㈹㐰㠷㜳〱昱㍢挴晡㥡戳摢摣扡㠹愵扥慢扦敦㈱〵〸改㜶㙥搴㍡收㘸敥㍤㙡扡㌱㈸扡㠸㝢㈱愴㕦戸〵㈱昶戱户㙢㄰搳㤹㕣㄰捣愱㙥㝡㤵扢㄰攴ㅢ戵㝢㐶㤰摥攷㠲㘰㠰㑡っ㠲㜴㐱㌷㤶㌸㄰散〵ㄹ㥤㑦㐱扡愷晢〸昰敤晤㍡㐸〱㝡慣ぢ㠲扤ㄱ㜳づ攲ㄲ扦㐱摣ㄷ㐲〰㤰㙥敢㐶慢㘳㄰昷愳搶〲㙡愵㡢戹ㄷ㐰晡㤵㕢〰㠶㈰戲㕤㝤㤰摥攸㠲㘰㝦㉡愷㕢扡ぢ挱〱攰昶㡣㈰摤搷〵挱㠱㔴㘲㄰愴て扢㌱挵㠱攰㡥㤰搱㠳㈸㐸晦㜶ㅦ㠱㥤㈸㌰㤸〲㜴㜹ㄷ〴㠷㈰㤶㐲㌰㕣ㄹ昶㐳㜰ㄷ〸〱㐱晡扤ㅢ慤㡥㝢㌱㐳愹㜵ㄸ戵搲㐷摤㡢㈰ㅤ搳㉤〴㠷㐳㘴㝢捥㈳昴㘶ㄷ〰㜷愵敥攳ㄱ㜳〱㌸〲摣㥥〱愴晢扢〰㌸㤲㑡っ㠰昴㠱㌷㤶㌸〰摣つ㌲㝡㜷ち㥥散㉦㔰㐴㠱㥦㔱㠰㉥昳〲攰ㅥ㠸戹㘷挲㜲摦㘱㍣ㅡ㜲挰㤰慥昳愶㘴挷㑣㌸㠶㡡挷㔲㌱摤摣扤ㄸ搲户摤挲㜰ㅣ㐴戶〷㐳㍡挴ぢ㠶攳愹㥢㥥昱㉥っ㈷㠰摢㌳㠶昴愰ㄷっ㑢愸挴㘰㐸㌷㝡㘳㠹〳挳㌰㘴㜴㈹〵改㘲敦㈳㔰㐶㠱㜲ち搰敢㕥㌰慣㐰㉣攵㉣戳挴昹ち㔱扦敥㔸〵㜱㐰㐹㈷㝣愳摦〱㘵㌵昵搷㔰㍦ㅤ收扤㔰搲㑢摥㠲㜲㈲㐴戶㙢㐰搳户㕥戰摣㤳捡改㘴敦挲㜲ㄲ戸㍤㘳㐹㘷㝣挱㜲㙦㉡㌱㔸搲㈳摦㤸攲挰㜲㌲㘴㜴㉤〵改慤敦㈳㔰㐷㠱㈹ㄴ愰〳扦㘰㔹㡦㔸㜲搵㍦户捥て扦㘹㄰〱㝥昴攱㌷㍡て㈰挷摡ㄶ㥢㑥㥤㌳愸㤳晥昶㕥晣ㅥ〲捦挲㙦㈶㐴戶愷㉢搲㌳㕦攰㥢㐵摤㜴搱㜷挱户㉦戸㍤挳昷㈸戲〹㝣戳愹挴挰㐷㝦㝥㘳㠹〳扥㌹㤰搱㜳㈹㐸㕦㝦ㅦ㠱㜹ㄴ㤸㑦〱扡晦ぢ㝣ぢ㄰㜳て攷㉡摦攱扣〸㜲挰㤰㡦〱ㄸ挵㡥㍥戸㤸㡡昷愳㘲扡散㝢㌱愴㥦扥㠵攱ㄲ㠸㙣て㠶㜴敥ㄷっ昷愷㙥㝡昹扢㌰㕣ち㙥捦ㄸ昲㘹〰挱昰㐰㉡㌱ㄸ昲㤱〰㘳㠹〳挳㠳㈰愳て愶㈰ㅦㄷ昰ㄱ㌸㠴〲㠷㔲㠰㑦㄰〸㠶つ㠸戹㌱慣昴挵㌰〲㌹㘰挸㈷〹㡣㘲〷㠶㡤㔴摣㐴挵昴晡昷㘲㐸㔷㝦ぢ挳㘶㠸㙣て㠶㝣㍥㐰㌰㡣㔲㌷ㅦㄴ㜰㘱戸っ摣㥥㌱攴〳〵㠲攱㜲㉡㌱ㄸ昲愹〲㘳㠹〳挳ㄶ挸攸挳㈹挸㈷づ㝣〴㔶㔰愰㤵〲㝣〸㐱㌰㙣㐳㉣㌹㈵扡摦㥡敢㌷愴㍢㈰づ㈸昹㑣㠲搱敦㠰㜲㈵昵ㅦ㐱晤搹㕣㠰㐲㔴挷ㄹ戳敢㥤㤷〷慥搷戳㌲捤敢㔵㑡㠸搱晦㜵㔱㘲㙤㉢㝣㡥ㄹ愴愷愵ㄵ攲㑥㌷㝣挵挰㠳晦㘷㐷ㅣㅢ挴戹摥ㄷ㡦㈵昳㍥㡤㠲㝢て昴扣㔰㔵戲㌱㈵〷戵挹㍢昳摦改㉦つ㑤收㘷挵㔳㙦㔷㘴ㅥㅥ㠱〴慡㌸㜰㑥㑢㔳扣愳戳㈳㤶㈸挴挶㐸㘷㈱㕦㔰ㅢ㠳㥦㐸㕤摥改搰攸㕢㈶つ换㙤攷攷㝢㔶昱㠵㡤挱ㄵ敤ㅤ慢摢愵㌶㜹㥤㝣㑦慦攰搵慢ㄷ㡢愱昷㠸ㅣ扢〱扣㔰〰ㄵ㘵㘶扤ち戴㙦㑥愸ㄷ攲㍣㐲昹㈶愰㑤㈰㘸〷昲晡㈲昰㐳扤㐹愹㕢㌵㘲〷愷㔹㐵㜳㝢昵㑡昳㉣㑣昳㐲㑤扥㑥㌳㄰攰ち㌷敦㌴㤸散㜵㐷昴捦攴㐶㤴㤹挵戰㌵愰㝡㉤㐸㌰搴てㄵ愷ㄱ㠱㈳ㄱ敤㕦㍦愵挱晤㈱愴挰㔱㘰昷〱㕢晣㘴ㄶ攲㉤扡㠱愳挱改〷㡥挳敢㍥㔴㘰㙢搱挷㈰㔱㡦㠴㍥㍤㠲㌵敤て扥户愶づて㜸㠷攳㈴㝣㈸戲㐲づ㙦㔶戱戹㝦㙣㐱㔷愴ㄵ摦㘳㥡〷㙦慡〴㔹㍦〵ㅦ㥣㕣换愷慤挷收ㄶㄳづ㍡㠴愸㝢㌱㜰户㤶㙤㥢扣㌱昵挷㜹昴〴昳搶昵搸㈷㑣㈹改㝤㠲敤ㅦ搴挷愳改㜸ㄳ㙢〷㐴㘵㙣㥣〰㠶㌹搴〰㍦㙥摥㐰㜰㝦戸扢ㄸ戵づ挰〸戴扦晤挶〷〶挶戶挲㜳敥〷㍣㥦㜱㈲敡愲〶昹搵㐱つ㌶摣㤳㈱㠳㠹㌲㡢㕤㐹敤っ㉥攷㍦㜵㈴㠰攱慣㐳㑢〲愷㐲㈴攳㔴愲搶㐰㡣搳㠹㙢㍡㔰扢ㄸ晤愷㈱㜳㠰㕡昰ㄷㅡち㉥攲搸㐵〲挵㈴㌱っ㜱ㅥ愱攱㈶戰慢〹ㄴ摡㠱㠲ㄱ〸㔰㌷ㄵ晣㔷㡦搰㐸㘸㘶㈹㠱搳㔱ㅢ㥦㔱㝣〶搸敥㔱㝣㈶㌸摥㔱扣㥢慤㐵㥦㠵㐴昹晡㤳㝣〷㑡ㄵ㠱㉦㍤攲ㅣ昰ㄹ㤰扦㍤挰ㄵ㠴摢㥤〸㥦〷㤱捣〸户晡㈱ㅣㅡ〵㑤挸㤶愵㌷㠲〲换搱㠸戳㈱〳ㄷ㈰㕥㔴㍦愵㝥㘱㐳㜹㑤慣愹㈴ㅣ㠹㌵㐵㥢捡换㉢㈳㡤㡤捤ㄵ攱昲昲㐸㔵戸愹愲㌹㕣㔱㕡ㄲ戸㌰㈹㕡㔳㕥㔵㕤摤㔴㔶㔳ㅡ慤㉣㉢㉦挷挷昴愲㈵搱敡愶收收愶〸㌲㤷㌴搵㠴挶搸敡昵㈶攴搱ㄷ㠱㠴挶ㅡ搶挵㘴㕤㐲搶㌸挳㑡㑡愹〹㘰㜱愲㔷㡤㌰㠳㤳戰㠰戲㠵㔹戶㠲〴㐳㜴㐱挲㉦㉢㜰㌹愲㍥捤㜰〵搸敥㘶戸ㄲㅣ㙦㌳㠴㙤㉤晡㉡㈴捡搷慥攴扢㔷慡㡣㐵ㄳ愶㙢挰㑦㌶㐳〵戸搲っ〷㌸㥡㐱昳㥣挹搳愳㕡攲㡢㜸㈵㌲㔱㐲㕦てち挴慢㄰攷ㄱ慡㌶㠱ㅡㄳ㤸㘸〷搴㈴〴挴晡挵戶昵愲攰〶㔰㝤㈳㐸㌰戴㌷〴㈸慣㜹㉡搱㍣㜱㘸㥥㉢㐲㤳つ晦ㄶ戲㉡㈹㔱〱愲敡挰ㄷ㝢㙥〳㥦〱㘶㔶昵愰㘲捦㍥づ㝢〲㜷㐰㈴㜳户㥡改㙢攴㔴㘸㐲㌶㝣戶〱ㄴ㐶㑥㐳㥣㐵〴敥㐶摣敡㔶㌵㔵㤱㥡㙡㝣㘸愲愹戹慣戹㍣㕡ㄹ㡥㤴㐷㑢㥡㈲ㄵㄵ㤵㑤㤱搲㔸㘳㘳㘹攰㥥愴㘸戸扡〲晣㥡愶㔸㜵㐹戴ㅣ㍤戱〶㥤戰㍡摡搸搴ㄸ㡢㐴捡㥢㑢愲㠱㝢㤳愲㈵戱㡡捡㜰㉣㕡㔳㔲㡡て㍡挶㙡㥡㈲攵攱搲㌲愸㙤㐲晥㤲挶慡㡡搰㜴扢㈶晡㍥攴搱昷㤳㍣〰ㄲ㥡㘱昸て㤲昵㄰挹挳攴捦㌴㝣㑡愵㌲愹㝤挱㤷㈶㤹㘸㌷〹㐷㡤㝥㥣㐲㑦㠰〴㐳戳敤㡣㠱㈷ㄱ昵改㤰㑦㠱敤敥㤰扦〳挷摢㈱攷㤸攲㥦㐶愲㝣㔶㑣㍥㌰愶收㠱㉦つ昸っ昸挹〶㕣〰慥㌴㘰㠹戳〱㥦㠳㐸收〶㉣昶㙤挰㠵搰㠴㙣㔹晡〵㔰㌴攰㈲挴㜹㠴ㄶ㥢挰㝥㈶戰挴づ愸愵〸〸㈴攳㥣㤰扣〴〵晡㘵㤰㘰攸㐰〸㔰㌸昰ち愲㍥㤰扣ち戶ㅢ㤲搷挰昱㐲㜲㤰慤㐵扦㡥㐴㍤ㄵ晡㜴㍤㠸㍡〴㝣㠱攴つ昰ㄹ㤰扦〶㜰〵㤲㤱づ㐸㔲㘳戴搰搷晡挳㤰〹㑡戲昴㥦㐱㘱㝤〴㜱ㅥ愱㐶ㄳ㘸㌲㠱㘶㍢愰㤶㈱㈰搶て户慤ㄷ〵敦㠲敡昷㐰㠲愱攵㄰愰戰㜷㡣戶ㄸ晥㕦㈹扢㉦㈵昶〱㔱㉢挰ㄷ㝢戶㠱㥦戴愷つ㕣戱㘷愰慦㍤㍢昸摡搳㡥㑣㔰㠲㠷戸㐱㘱㑦〷攲㍣㐲㜴昲㤱挰ㄱ㈶㄰户〳慡ぢ〱戱㈷攴戴攷㔳搶昱㌳㤰㘰㘸ㄵ〴㈸散戵㘷戵攱㝦㐹搹㠵㤴㔸〰愲搶㠲㉦昶㝣つ㝥搲㥥愳挰ㄵ㝢〲づ㝢〲晦㠶㐸收㉥㥢敢㙢攴搱搰㠴㙣㜸㜹ㄳ㈸㡣㍣〶㜱ㅥ愱㘳㑤攰㌸ㄳ㔸㘷〷搴㠹〸㠸㤱搹㑥㈳扦㠷〲㥤㤵㐷㈳㑦㠲〰㠵〳ち㔱㥦㉥㥢つ戶扢换收㠰攳敤戲㈷摢㕡㜴㉥ㄲ攵㡢㜰㥡户㠷搴愹攰ぢ㈴扤挰㑦㐲㜲ㅡ戸〲挹㔷摦㌸搶㑦晣挸㙥㘶㐸扥㠴㘸摡晡㈹戴ㅥ㥡〴㤲摥挸っ㐸㑥㐷㥣㐷攸っㄳ㌸搳〴捥戲〳敡ㅣ〴〴㤲㝦㐲㈵捦戴愲愰㉦㉢摥て㈴ㄸ㍡ㄷ〲ㄴ昶戶晢㜹㠶扦〳㘵て愳㐴〳㠸摡〸㝥㝦晣〵搵㌶㘸攴㘲㤹戹昱搰〱戵㘱搱㝢〱愲〲挲㑥㘰㤸㐳㕤攸换摤〴㉥ㄷ扥㝡㌰㘴搵挵扥㌲㥢つ㜷㘷挸㈴ㄷ愵㤷㠱㉢愰扥敦〴㜵㈸㐴㌲㠳晡慥ㅦ愸㙡㡢搱㍦ㅣ㤹㤳㡢搲慤攰ち㔲扢㠲ぢ愸㉦㐷㥣㐷攸ちㄳ戸搲〴慥戲〳〵扦㐰攰㝦戳㈸扤ㅡ㥡㔹㑡愰㄰戵昱改戶㈳挰㜶㜷摢㤱攰㜸扢敤㌵戶ㄶ扤ㅢㄲ攵昳㝥㍡ち愵敡㕡昰愵挵㝥〶㝥戲摢㕥て慥㈰晣㥡ㄳ攱㔱㄰挹㡣昰㉢㝥〸㠷㝥〵㑤㠲攵ㄸ㘴〶㤶㌷搸攵〵挶㈲㙥慤ㅥ㥡㥡㙢捡㉢㉢㉢挳㔵攵ㄱ慣ㅥ捡㥢㈲戱戲㤲捡愶㤲㔸㔹㜵㘵㌴㕡ㄵ㡤㠴㙥㌴㜵ㅣ㠷㍣愱㕦㥢搸㜸挶挴㈳〶㠶㘸愶愹摦㈰㑤㍡晣㜳愸㑣㜲㘹㔹㠲㈴ㅤ〶〹㠶㙥㠵〰㝥㔹㠱㔲㐴㝤挰㉣〳摢つ㘶㌹㌸㕥㌰㙦戳戵攸ち㈴捡㜷ち攵㡢㠵敡づ昰〵捣㙡昰ㄹ㘰㔱敡㉥㔰〱昳㜱㈷㤸ㄳ㈱㤲ㄹ捣㐷㝤挱扣ㅢ㥡〴捣扤㤰ㄹ㘰摥㠳戸慣昰㈷㈱㙥㠱搹㕣ㅤ〹㤷㐶㉡㙡㘲〰㡥敢慢敡㔸㜹㜹㜳㔳㔳㐵㘳㘵戸愶愲戹愹㈴戰㜷㔲戴愲扣愹愶慡扡㌱ㄲ慥慥㘹㉣挷㌲慤愶慡扣愲愶戴戱ㅣ摦㘶㉤㙤慡㙣㡥㠴敥戵搵敢挹挸愳㙢㐱㐲昷ㄹ㔶ㅤ㔹㔳挸扡摦戰㤲㔲敡㈱戰愴ㄹ敥㜱㌶挳㜴㘶㤹〱ㄲっ㍤っ〱晣戲〲㌳ㄱ昵㘹㠶㔹㘰扢㥢㘱ㅦ㜰扣捤昰㠸慤㐵敦㡢㐴昹ㄶ愳㝣㤵㔱㍤ち扥㌵㑢摤㠲昲㔳戳搴㍣㠸㜱㤶㝡っ改搲㑣昳挱㐸昶昹挷つ㜷〱戸收㔰㑦㠰㉢戳搴㐲捡㍥攵㉢昳戴攱㉥㠶㡣戴〷戲慢㍦㠰㉢捤㝥扤戳搹㤷㐰㈴㜳戳㕦敢搷散敡ㄹ愳晦〰㘴㑥捥㔲㜴㡥㤱捥戰ㄴ㕣㜴㠶攷㄰攷ㄱ㝡摥〴㕥㌰㠱ㄷ敤㐰挱㑢〸晣㙦㘶愹㤷愱㤹愵〴づ㐴㙤㝣㕡昴㈰戰摤㉤㝡㌰㌸摥ㄶ㝤挵搶愲て㐱愲㝣晦㔲昳㈵㤰敡㌵昰愵挵づ〳㍦㌹戰晥〸慥㈰扣挵㠱戰收㝡㐳慥搹㉥昵〳㌳昴㈷㘴ㄲ搸㥡愱ち戰扤㠱㌸㡦搰㥢㈶昰㤶〹扣㙤〷搴扢〸㐸㝦扥〴㉡㤳攷搱ㄸ敢戸っ㈴ㄸ㝡て〲ㄴ搶㕣㕡㘸㉥㈴㌴搷づ愱昷つ㝦〵㔹挷㔳㘲ㅤ㠸晡〰㝣戱愷ㅤ㝣〶攴敦㙦攰㡡㍤攷㌸散〹慣㠴㐸收ㅥ戳挱搷挸扦㐳㤳ㄸㄹ㐷㘶ㄸ戹つ㜱ㅥ愱て㑤攰ㅦ㈶昰㤱ㅤ㔰㥦㈲㈰㐶㥥㘹ㅢ挹〴㥤㘰挵扢㐰㠲愱捦挰㄰㥥攷挲昴㜳挳㕦㑢㔹扥㑤㔱㍥搰愹扥〰㕦㡣㍣ㅡ晣愴㤱晦〲㔷㡣㍣搱㘱愴收㙣㈸㡤㜶扣慦㍤昴㌱ㄱ㝢搶㐱づ昶㝣㡤㌸㡦搰㌷㈶昰㙦ㄳ昸搶づ㈸㉥㑤挴㥥攳㙣㝢攴慡敥〴搶昱㐴㤰㘰㠸ㅡ㈹慣㌹〹㘹㑥㌹㥡戳㑣㐸ㄹ晥愹㘴㙤愰挴㔹㈰㉡〷㝣戱㘷㍤昸㐹㝢昲挰ㄵ㝢扡ㅣ昶〴捥㠰㐸收㐶敢昴㌵㤲㙥㈰昸愱㌴㘴㠶㤱扤ㄸ挱ㄱ捡㌷〱㙤〲㐱㍢愰晡㈲㈰㐶ㅥ㘱ㅢ挹〴㝤㌶㉢㝥づ〸㙥㑣㠳㐱㈳〳攷㈲敡㌳㉥捦〳摢㍤㉥捦〷挷㍢㉥ぢ㙣㉤㝡㈳ㄲ攵ㅢ愳㝡㈳㤴慡晥攰ぢ㈴㥢挰㘷㠰㐵愹〱攰ち㈴换ㅣ㤰㘸㕥扡㑡ㄳ㐷㝤慤ㅦ㠸㘴㑡攸捤㔰〵敢㜷ㄴ㜱㔸㍦挸〴㜶㌲㠱挱㜶㐰敤㠲㠰㔸摦㘴㕢㉦㑤㝣ㄹ敢戸〵㈴ㄸㅡち〱㘹㘲㕥愵㙡㕥㤳㙡㕥㠶㠶㠶ㄹ晥㤵㤴扤㔴㡡〵㔱扢㠲㉦昶㕣つ㝥戲㠹㐷㠰㉢昶㉣㜵摡挳㜱㈹昶散敦㙢捦㐸㘴挲㉦㑢㕦〷㌹搸戳ㅢ㈳㌸㐲昴愰㤰㐰㤱〹搰㘵㠲㠷ㅡ㡤㠰搸戳㥦㙤てㄳ昴慦㔸挷ㅢ㐰㠲愱㌱㘰㠸㍤㥥㈱㌸搶昰㙦愶散㔵捣㜵㈵ㄵ㡥〷㕦散戹ㄵ晣愴㍤ㄳ挰ㄵ㝢昶㜵搸ㄳ戸ㅤ㈲㤹扢散㉣㕦㈳改昲㠰㕦㤶扥ㄳ㤹㘱㘴㤸ㄱㅣ㈱扡㌸㐸愰捣〴捡敤㠰慡㐲㐰㡣㥣攱㌴昲㙥㔶晣ㅥ㤰㘰愸ㅡ〲㝥㐶搶ㄸ晥〳㤴扤ㅥ敡昵㜵㈰㙡㑦昰挵挸㠷挱㑦ㅡ㌹〹㕣㌱㜲㤲挳㐸捤㈵慣㌴摡㥥扥昶搰敤〰㍦扣〳て㜲戰㘷㌲㈳㌸㐲戵㈶㔰㘷〲㔳散㠰㥡㠶㠰搸㔳㘳摢㈳㥤昰〹搶昱㐹㤰㘰㠸㉥〳㘲て搷㥣㥡㉢㑣㕤づㄲ㥡㘱昸扦㈷敢ㄶㄴ㈳㥦㘹㔵戳挰ㄷ㝢㥥〵㍦㘹捦扥攰㡡㍤ㄳ㥣昶㈴㍢攱㜸㕦㝢㘶㈳ㄳ㝥昰㝦㠵㉡搸㌳㠷ㄱㅣ㈱敥晢㑢㘰㥥〹㜰愳㥦㠷㕡㠴㠰搸㌳搶戶㠷〹晡㘵搶昱ㄵ㤰㘰㘸㌱ㄸ㝥敤戳㥦攱晦㤱戲㝣㥤愰扥㤳ち昷〷㕦散㜹ㄳ晣愴㍤㑢挱ㄵ㝢㐶昸摡戳慢慦㍤〷㈲ㄳ㝥㜸摤㌵㔴挱㥥㠳ㄸ挱ㄱ㍡搸〴づ㌱〱㙥扡昳㔰ㄱ〴挴㥥㘱㑥㝢摥㘳ㅤ摦〷〹㠶ㅡ㈱攰㘷㑦㤳攱晦㡤戲て㐲㤷㝥㠰ち愳攰㡢㍤ㅦ㠲㥦戴㘷ㄹ戸㘲捦〰愷㍤挹ㅢ挸晤㝤敤攱晥㌸㝥昸戴ㄱ㔴挱㥥ㄶ㐶㜰㠴づ㌷㠱ㄵ㈶搰㙡〷㔴〷〲㘲㑦㠱搳㥥捦㔸挷捦㐱㠲㈱敥㘷晢搹㜳㠴攱晦㡢戲㡦愳ㄸ晤ㄸ换攲㘶㌷㝥㜰搰㤴㑡攴慤㐲㘴捦捣慦㘹㜱㙣㔸㡥挵㡢っ㕣㕦㈵㥤㠶慦㡣慥㘵晦捦挱晢㤱慣户ち攵㘶㑦晣㜱扡戸敦挷搷㔷昰㉦㉦て戶晥ㅦ昴戰㤵㔲㕢攲搴戸㉢晥昴户㌰戸㘰つ捣挵晦摥敤愴㑦㈶㠳挷愳㔶㘸搶㐰晢晦挱戵〵㙢扤㌹扣慦〹ㅦ㜸攳㡣㍦ㅦ㌹㌰扦昶㡤摤〳挷㙦慣㝦㘱戲㍡〶㌹㡡愰㐷㍥㈵攴昸㡡㑥ㄶ捣㝡ㅤ㑦㘷愷㝤搴敦晢慦慤〴敦㐷晤搴昱搰㈴㥤㉦ㅢㄷ〲㙣㘵晥㠵㑥〰㤷㠷㍡搱㈴ㅢ㡥㙣〸㥦っ㉥㈵㜴㉥㌲改㍣㤰扥搹愱搳挰攱㌳ㄴ㍡㐰㘶㉦㤲㝣ㄲ㑤ㄲ㈴改つ搲㌷㕢慤㠷㈰晢㠴晡㈷㉡挵㠶㄰散晡㈲㔱㜱㠷㉢㘵搷㌷搴昶㌶㠸晡搸慥㝥㥡㕤ㅦ搹〹摥捦㈳㠵捥㠱㈶晣昰㤶㜲ㄶ㥡愳㌶㈲㈲㠵㝥攸㉣㜴㐷㈴收㙤㐲㤲敦㥢㉤慣㍤昷㐵昸昲㝡戴戸㝥㑡㔵㌱扥㑣ㅦ㙤攵㕢㐴戰攱㡥㡣㔹㍢戶捤敡㐴㄰ㅦづ㕢摣㔱㈷敦戶愰㠳㐶㝦戳㈷㍦搶㝣摤戴㈸挵㌱㉦㡥㌱搹收挵㤳昹昰戵㔰昸㐳㈰㘱㉣扦㠵扡㘳㉡收㜸㡤搶㉥㈹㉥摥ㄷ㠴户㤸㐴㥢㡤挶㑥㍣搱㤰㥢㥤㤳昶〵㉥搹搷㥦摡搱㠶敦㈹ㄶ昳扤㔹搴㠶㉦昷捥㙡㈶敡扢昸扣㐴㙣㑡㑢㐲㕥挲㌷㤴挰敢ぢ〰㑥㘰㈷㔸ㅢ㥣ㄴ㉥㉤ㄹㄳ㉥慥㉣愹挹晢㉢㌰昴扥愰㈱㘳㌹敥戱挲㔲搹㉥㐱㍤〴㑡搵㐵〸ㄳ㝦愵㉦㘴㐱扢㠰愷㈷㤵㔷㔸攵愸昷㔰づ换攲っ㄰搴挳㤸攱㘲㠸㤱㠵晦攰昳㘸㐷㤸㕥戰〵㤱ㅦ㌰敥昲㙢㈱㡣㈳㔴㕢戰搵攴㌸㐴㡤㌸户㉥敦敤攳扣攳㙥攱㥤挳㑦摥㌶㘴㘱敤挳㕦㡣㍡㜸挳挸攵戵㡡㕢㝦愹晥昹ㄶ搴㔸晤昳㉤搴挸㜷摣扤㘹㈷㜸扦㕥ㄵ扡〶㥡昰挳ㅢ㈷㘰ㄵ晡攷昵㠸㐸晦晣ㄳ㜲㈴〷㐵ㄱㄲぢ戸㤷昷〳っ㜳㑣㈸摣昸㜳攵昰ㅡ㐶扢ㄶ㔴ㄷ搶㍥昸搴攵搳㙥晦晣㙦㤳ㄵ昷〰晤っ㝢㈵㤳㘱㉦摢〹摥慦㔲㠵㙥㠳㈶晣攰㕦㙢ㄹ㜶ㄷ㈲㘲搸㡢㑥挳挶戳㉤敦㐳㤲搵昸㜷㈳ㄴ㤸〰㕥㥦㐹㈵挵㔵㘳挲搸㐵㉥づ㔷愹㘷㤱㠵㡤捤㌹㈹愸挳捣挳㕤㌹㉢捦㍤捣㔳㤶捡㔳㠶敦挴㔷㔵愸愷敤㍣㔶㥦愹㘰㥥〷㤲㜹戸ㄹㄸ愸㑡攵愹慣慣㈸慥愸㔶㑦搸㜹㤰㡡㜲㙡㤸攷㐱㠴㤳晤散㈱㍢挲㝡愸㠷敤㠸㜴扡挷ㄱ㠱㜸㑦㤳㝤慡搳㐱ㄶ挷挰摡〲敥〴㑡捥㑣㥤㑦㥥搲㝡收捣摡㈱戹㑢晡摤戰攱散摡㕢㥦㔸㜵晦㤶慡㜳㙢ㄵ户晢晣摡敡ㄱ㔸攱摢〹ㅦ戶ㄳ扣ㅦ搰ち㍤〳㑤昸攱昵ㄲ愸〹㍡㈱㌷昴愴慤ㅥ㐴㡥㘴㈷慣㐳㘲挱㑢㐸晡㜱㠶扥㙣㜲㘶㌲㔴㄰挹摡扤搶晡㝦㤶昵晦扡㈵戵敡㜵攴昴㌳昴㥥㑣㠶摥㙤㈷㜸㍦㤴ㄵ㝡〳㥡昰挳敤㐲换搰㍦㈳㈲㠶摥改㌴㜴ㄶつ㝤ㄷ㐹慥戱㘳㔵慢㥢搳㌷户昰㕣㌹扣愳敤敢戹㑦ㅦㄹ㍥扦㘹昲㔹㌷て㌸昴㠴㐵ㄳ㈶㉢敥收昹ㄹ昶㥢㑣㠶摤㘲㈷㜸㍦㠰ㄵ摡〶㑤昸㘵改㜹㤶㘱ㅦ㈳㈲㠶摤攴㌴㙣〱つ晢ㄴ㐹慥㙡昶㘸ㄸ昷昲㕣㌹扣㠶挹摢扢㤶敥㕦㉢换㤳ㅢ㐷搶慡㉦㤱挳捦戰敢㌳ㄹ㜶㥤㥤攰晤戰㔵攸㙢㘸挲㉦㑢敦㙦ㄹ昶ㅤ㈲㘲搸㉦㥤㠶㉤愵㘱㍣ㄷ戸慡搹愳㘱ㄴ㜷攵昰ㅡ昶晤㠸敦扥散㝡晢㡣挹攷㝦ㄹ㘸搸㌴㝢扦挹㡡㥢㜳㐵慣捥㥢㈴愹㠹晦捡㑣㠶㕤㘱㈷㜸㍦㔲ㄵ攲㜶㥥ㄸ搶㘰ㄹ挶敤㌷㌱㙣慢搳戰〸つ攳挶ㅡ㝥㍤㑤㉥㡥㠹㥦扢㜰慥ㅣ㕥挳捡攴搸搷㍡愳㍤扣㘳慤摡〱攲㐵㍥㠶㕤㤲挹戰㡢敤㠴戴㡦㑦㜱捦㑥㔶㤲换㔰昷攴㑡搲㙣摣愹挱㈶搹㜰戸㔶っ敤っ慥愰搱㠲㑣晡㜰㐲㤲ㅤ攲收㤹慣㈴㔷㤰搹㑡搲㐶搲㑥搲㐱戲ㄲ〴㉢挹㕤㈱㈸搸㙤㜰㘲ㄷ㐷愲攲戶㔴㔱搲慥搴㑡㜲㝤㈶扢㑥戳ㄳ扣摦㡤ち晤っ㥡愴㡡㙢㔸㘸㡥ㅡ㘳ち㍤搵㔹攸㤱㉣㤴㝢㐶搶挹㠹扢㔱㠱愳挱换㥦㔴㘶㉦㘶㑥㠴戸㌹愳〴昵戱㤴攷㡥㤳㘱ㄵ㤴㈰㠲㕦㑦慤㥤㍡㤵ㄴ㜰ぢ㑡㜲㜴㍦戳扥㍤㌹㝢散愹㠳㕥㥢㍢愰㔶㜱㝦愹㈸㠹㑡慡ㅢㅦ㥢〹㤵㘳散㠴㘳㍦㌸㙣挹挵㡦㡣慤扢敥愴㠷敥ㄸ戶攱㠵愹愱㙡㘸ㄲ㔴㑥戲㔰搹ぢ㜱㘹㡡愳㥣愸㥣㐲㉢戹㡦㘳愱挲㙤愵挰捦挱㉢㤸㔴㔱挲㘳㐲㘹㈵㑦昴愵㙡戵ぢ㥣昵捣㔶㥢捣挶㉤愶挰ㄹ㤲慤捣㥤慤搳捥㘶㥤散捦㘲戶㍡〸ㅢ㑣搵ㄴ㍢㈲攷敡改㠸攰户ㅤ〰㜳㜳㐹㜲㘴〲昸昹㉤㌹昷ㅣ㝢晦㌹戵晡戶㥢慡㕥㌸昷搲㕡挵㥤愳㈲ㅦ㠰摢㙤ㅣ搳㉥㘰摡散㠴戴㡦㔵㜱㜳㐹㠶搳昹戰㉡㌹㥣收㠳㉢戰㙦〴ㄷㄷ昸㘶㙦㐹㉤㌴攲㠶挳㔷昳㠶ㄶㅢ昱ぢ㈱慥㌷㌱㑦㜶攸〰㌰㘵㜸㕤㐴收挵㈴㤷㤰㙣㈶戹㤴攴㌲㄰っ㉦㙥〴㐹㥢㐶㔰挹攴㜲㘰㉢ㄲㄵ昷㔳㡡㤲㜶愶㠶搷挱㤹散㍣挸㑥昰㝥㜷㉡㜴ㄸ㌴㠹㐵㔷戳搰ㅣ挵㙤ㄴ㈹㜴愹戳搰㕦㈲戱㈰㠶㈴晣㝡㙡㐰挷㝣挸摤ㄴ㔷づ敦㝣㌸㜳晥户㠳㍢㕦㔹㌸㜹晡〵㑦摦㝣敦昵挳㈷㉢㙥慣ㄴ㈵つ㑢㡤㤰挵㤹っ㕢㘴㈷㜸扦㈷ㄵ攲㔶㡣ㄸ㜶愳㘵㔸ㅣ㜱㌱㙣㠱搳戰㥢㘸㔸〲㐹昸昵㘴㤸㘳攸㜳〷㐵㜲㘴敡㤹换㘴昹戸㑦敤慥㔸攸摦㌹ㅣㄳ㍤㌷㔳㡡㝣っ㥢㥤挹戰㝤敤〴敦㜷愲㐲摣㝥ㄱ挳㙥户っ㕢㠷戸ㄸ㌶换㘹搸㥤㌴㡣扢㈳昸晦㠷ㅢ〶㔹ㅣ㔸ㅥ㜳㑢㐵㜲㘶㌲搰㤲㌴搴慣ㅡて慡㔵摣㘵㈹〲摦㝢慡㥥㥡挹搰㝡㍢挱晢㍤愸㄰昷㘵挴搰晢㉤㐳戹㡦㈲㠶搶㌹つ㝤㤰㠶㥥㡤㈴晣㝡㌲搴搱㌵捦昱收昰㜶捤昹㘷㕥搸扥挳㠹て㑥づ敤㜵晦㝤㉢㥥扤㜰戲攲㕥㐹㤱㡦㘱㝢㘵㌲㙣㑦㍢挱晢㥤愷搰㈶㘸ㄲ挳ㅥ戳っ攳ㄶ㠹ㄸ㔶攳㌴散〹ㅡ挶捤て晣摦㤳㘱愹慥〹㔹ㅣ㘸㐱敥㤸㐸捥敥㕢搰㙥戹慣㤶㕡挹昸挹昹戵㡡㥢㈸㐵㠸㜹㕢戰㍣㤳愱㘵㜶㠲昷㝢㑥愱慢愱㐹っ晤㠳㘵㈸昷㑥挴搰戰搳搰㘷㘹㈸㜷㐵昰敢挹㔰㐷ぢ㜲ぢ挵㤵挳摢㠲㘲㔰㙤㝤㉤㕥つ㠱愳㕦慤扡ㄹ攲㐵㍥㠶㡤换㘴搸㔸㍢挱晢㥤愶搰慤搰㈴㠶扤㙣ㄹ㜶㈷攲㘲搸㘸愷㘱慦搲㌰敥㠴攰户ㅤ㠶㜱摢挴㤵挳㙢搸攸㠳㌷攰㤶㐸㔶敤㤴挳摥㝦㜶攴ㅦ㥦㥣慣戸㠳㔲攴㘳搸敥㤹っ摢捤㑥昰㝥㝦㈹挴㍤ㄷ㌱散㑤换戰挷㄰ㄷ挳㐶㌸つ㝢㥢㠶㜱㑢〴晦昷㘴㤸㑦搷攴㍥㡡攴捣搴㌵慤搷ㄲ㡦户㕡㙥摣晥戵戲㙡敥㙣慦㔵摣㕡㈹昲㌱㜴㘸㈶㐳㜷戱ㄳ扣摦㔹ち㍤ぢ㑤㘲攸㕦㉣㐳戹愳㈲㠶づ㜱ㅡ晡㔷ㅡ捡扤ㄲ晣㝡㌲搴搱㌵戹戱攲捡攱㙤㐱敢ㄵ㌰昳㙡慦㕡㌹㈹昸捡㤵〳㙢ㄵ昷㔸㡡㝣っㅢ㤸挹戰〱㜶㠲昷晢㐹㈱敥捡㠸㘱ㅦ㔹㠶㜱㙢㐵っ敢敦㌴散ㄳㅡ挶㑤ㄳ晣戶挳㌰敥戰戸㜲㜸つ攳摤㤲昱户摣㌰昹捦㥢晢晦攲扥㠷㔶㑦㔶摣㙣㈹昲㌱慣㑦㈶挳㝡摢〹摥敦㈲㠵戸㍤㈳㠶㝤㘹ㄹ昶〹攲㘲㤸㜶ㅡ昶ㄵつ攳敥〹㝥摢㘱ㄸ户㕡㕣㌹扣㠶㝤㠸搳昸挹摢扥㤸晣挹㌵㡦敤㕢㜵摡㐳㤳ㄵ㜷㕤㡡㝣っ换捤㘴㔸㡥㥤㤰昶扤㈳敥搳昴昴扤㈳㍥搹ㄷ敤㤴㡦ㄸㄴ愰搰扣ㄸ㙦㜵昷㡥㔹㙣㙥慤挸㥢敢㕢攵㐱扥㍥昸㌶㐹㝣㐵㌴㍥ㅢ㕦攱挱ㄷ㐹ㄶ戵戴搹㑦慦攱敢㍣㝣㔱慦昹晡㠵㤶ㄸ㌳〷㘲昳攲昸ㅣ㐶慦搸慣㑥扣㥢扤㌹扦㙤㝥㈴㤱㠸挶摢㝦ち捦㤵攱搱捡㕣㕥㍦㘰ㄵ㥥㠳户㈷㘵晢㍥搵挸挷ㄵ㝤敦㠸ぢ㘲挵㈹㍣捣晢戹戳昹㐹㤳ㅦ昷㔴㔹攰㍦攸㘲㡥㘷㜰㥢ㅤ摦改挹㔵ち慤㙣㜹晢慥换晡㕥慡つㄷ㌲捤愷慦〲ち㈴愷慥戳㑤慥㉢㐰㠲㍡ㅢㅣ㜹挰㔵㐸㔶ㅥ㌷戰扣昶昱㔱搳改〴㈰㙦㜵㑢㜳㘲㜹㘰㜹戴㘵搹昲〴ㅥ㈹敤㙤ㅥ〵㘵㈹㈱敥ㅦ挹攸挸愵捥㍣㤲〰㐸㔰㜱㡦㠸㍤㉣搰ぢ搱摥㜸摣㙤㘲愱昵㜶ㅥ愵扥晡捡慦慥ㅡ㜲㠱㈰㐸づ摥昷捥昷㔵昱㐲㈸愸㝢㠳攳愸慢攲戶㤳攸敤㡢㠴〲㙣㤹㐴㥢昰〶昱挲㔵摣㐵改捣㔶㥦ㄹ摤摢㑡㠷愴㜰㈸愰ㄲ敡㤶㔷㌱㡢摥晥ㅥ扤〱攸㤵㘱晤て㘸攰㔵㡦摣㝤㔶摣搰ㄲ昶㠷㌶扢㍦敡ㄵ㔴昹㠶扤捤㘶てㄲ㌶㌷扤㐴晡敦㌶㝢㈷㘱㜳ㅢ㑣搸㝦戳搹愳㠴捤㡤㌱㘱晦搵㘶㡦ㄶ㌶户挴搸㈲㡢㉦扡扢昶扢戲㐳敡ㄴ昷戲挴攴㈱愸㜳昲〵㙡敥昶晦ぢ㔴愴户晦㉥挸㄰ㄸち攲㙥晦㘱ㅥ摢戹ㅦ挶ㄲ捤㤱换㑤㥡敥㌶㠹㠸㑤慦戶㠶㐸㍣ㅥ㔹㥢摦搶搰ㅡ㙤㕦㤶㔸㥥摦戰ち㝢㘲昸㙡ㄴ戴攷攷攷敢㕤昱扦㌹ㄴ㜷㜱愸㔵ㄷ㍡戹摣〵ㄱ换㐶㠰㥢戱㙦扦改㙢摢㙥挸愲搹户㔳晤扡㠸慣攷挱戱晡戵攲㍥㡡搳㉥挵捤〹㈹㙦て㐸㍡摦㑢攱〶昳㔵摦〲㐷㈳㑦㘰っ㠸ㅢ捣戱㥥㐲戹挷攱㉡㤴ㅢㄸ㘲晡㜸㐸㥡㐳㜱㡢㐲戸挵㑥㙥㡤攱㑥㜰㜲㜹㥦㕥慡㕤〲㙥收㙡㍦攳㕢敤㔲攴搱慣㜶ち愷㜲戲ㅣ㌸昱㔶扦慢捡扣㕦㉥〵㔶㐲㌲㘳扢㍣改㕢㕥㌵㤵扢摢㘵愲愷㍣摥㜱㜷㤵挷摢搸㔲摥㕥摤㤵昷㠸㙦㜹㝢愷㤷㔷敢㈹㡦㌷挲㕤攵昱敥戲㤴㌷愵扢昲敥昳㉤㙦㉡戲〴愶㠱戸扢挱㜴㑦㤹㑢扤㘵昲挶慦㤴㌹戳扢㌲敦昰㉤㜳ㅦ㉡㜷㘳㍡摢㔳ㅥ㙦ㅤ㍢㙤っ昱㝥慣捣捣㜳㈹㌹㡦㘴㍥㐸㔰昱㥥慢㔴㘴〱愲敥㤹昹㐶摦搲ㄷ㌱慦捣㥥挹㔹㜹㍦戲ㅣ㍤㠸户㜰愹㔳㜳㔶捥㔶扦㌴㝡㕣戳昰搲愴㥥㙣㉡攲散㝥㤰㐷て㙦晤捡㤴㜸㈵㌴愴㘶㘱摥っㄶ昶ㄵ㌶摢㥡㠵㜹㝢㔸搸㤷摢㙣㙢ㄶ㙥㌷散慤㌶摢㥡㠵㜹ぢ㔹愴户搸㙣㙢ㄶ收㑤㘵㘱㕦㘶戳慤㔹㤸户㤳㠹㘷㜲ㄶ㕥〳㠶挰搶㠴㍡㘷㤸㠵㌷㐳㐵晡㉣ㅣ愵㤱敥ㄱ戸捣㘳㌷敦㈳㍢㕢㑦ㅤぢ㠶㑣て㉤㤰㌴㠷攲㕤㔷愹挳攱㤹敢戰搱户づ慤改㜵攰㍣敤㙣挳㔳扣㜵攰晤㔸愹挳㑡㘷ㅤ捥㌲摣㈳ㅣ摣㄰㙦㔷㑡㙦㡢㔳㙢㈷〹扦挴㄰㔴扣㘳㈹昰㥥㙥挳换愶换㠷挷〲敦㑤㡡㉤慢㈰攷敥㠶愷昹㥡戰㠶㑡摤摤昰㐸戲ㅣ摤㜰㤳慤搳敥㠶㈷ㅡ㍤慥㙥㜸㙣㔲㑦戲ㅢ慥昳攸戹挸㔴晡㔸扢搲搶㘲㠰㌷㑤挵㤶㘳ㅣ戶〴ㄵ㙦愳ち晢㘸㥢㙤㜵㐳摥㔸ㄵ昶㔱㌶摢敡㠶扣搵㉡散㈳㙤戶搵つ㉦㌳散戵㌶摢敡㠶㕢挱㜶㜵挳慢挱㄰搸㝥㡥㍡㘷㥣㥡㔷㐳㐹㝡㐷㕣㑦㌳㌹㜵愵㑥〵㘷㜸㉣攷ㅤ㔷㔷㐷扣搱㤴㜷ㄶ㈴捤ぢㄶ摤愷换㈳㝣ぢ㍢㥢㥡摤㜳搶戹㥥挲㜸ㄷ搴㔵ㄸ㙦㉤㡡㜱攷㐳㌲昳㠹㙥㠵㙦㠱ㄷ㈰㑦攰㐲㄰昷挴扣挹㔳攸㥤摥㐲敦㌷㠵㕥っ挹㡣㠸㐶㝤换摣㑣攵㙥㐴㉦昳㤴昷愰户扣挷㑣㜹㕢㈱㤹搹挸〶摦〲慦愰㜶ㅡ㤹㙡挲慢㍣〵昲〶㥥ぢ搵㍦㤸〲慦㠶㘴㐶〳㤷晡㤶昷㑢㉡㜷户攲㜵㥥昲㜸ㅦ捤㔵ㅥ㙦㑥㐹㉢晥慡扢昲ㄶ昹㤶㜷㘳㝡㜹㌷㜹捡㝢搵㕢摥㥢愶扣㕢㈰㤹ㄹ搰㌹扥〵摥㡡㍣㠱摢㐰摣扤收㜶㑦愱㙦㝢ぢ晤㡢㈹昴㑥㐸㘶〴㜵㠶㙦㤹㜷㔳戹ㅢ搴㝢㍤攵昱づ㤰ぢ搴㡦㑣㜹昷㜷㔷㕥㥤㙦㜹て愶㤷昷戰愷㍣摥㤸㜱㤵挷扢ㅤ搲㠸扦敤慥扣㍤㝤换㝢㉣扤扣㈷㍣攵㝤攵㈹㉦㉦ぢ〲㍦昸㔲㥡换㠷ㅦ昹敥㤲愷㔰㡥攲〵㌰㜵攸摦搹〱㔹㡦昰ㄲ㔶㘶收㜲㔸挵挵〷扦㈶㤲㥦㡤〷㝤㑤㐲㤹㥤㌰㐹ㄲ昰ㄵ㌵㤳㔰㙡㈷㑣愶搲㘷愸㤴㤷戳戴㐹㍦换ㄸ慦㘲愵挰攷㄰攰㔵㌵晦ㄴ㉦㑢㐵收㜹㈶昳㡡㔴㘴㕥㜰捡昰ㄲ㑥㘴㕥㘴㌲慦摣㐴收㈵㍢挰㐸㠱戹搲捡㉦㈸愴㌴㡥㝣挵换㈳挹昷㌲㈵㡢㙣㜱晤㡡ㅤ㘰㍥挵㉢ㅡ㤱㜹㤵㕣㕥挸㠸敥搷ㅣ㌲〵收愲㈵扦愰㤸搲㌸昲ぢ捣挵㐹扥㉡㈵て㝦晡㜵收㈹㈷〱㐳晦搱づ㐸㈹搵㠸㠸捣㥦挸㥤㘸㘴摥㜰捡㜰ㄱ㉦㌲㙦㤲㕢㙢㘴摥㜲捡㜰攱㉤㌲㙦㤳换昵戶㤴昵㘷愷捣㍥㐶收ㅤ㜲戹㐶ㄶ㤹㜷㥤㌲㜳ㄱ㤱㘶ㅥ敡㘹㘶慥㤱㈵㘱ㄷ㑦㌳捦㌷〹㍢㍢㥢昹〳㉡攵摡㔸㉡昵㔷挶戸㉣㤶〲晦㠶㐰戲㤹戹敥ㄵ㤹扦㌳㤹㑢㕥㤱搹收㤴㠹ㅡ㤹て㤹捣攵愱挸晣挳づ㌰㔲㘰㤶㠲昹慡搵㐸㝦挴昴㜶㈳晤戱㔳㝡㈵㘵㜰攴ㄷ㤸㠵㕡扥㡡㠳㈷ㄶ㠶㍣愶㜳挱㈶〹〵ㅥ搳ㄳ㈶愱㥦搳昴捦挱㔵㙢㐰挴慣㝦㌲㜶㈴〹ㄸ晡ぢ〴散㤴㉣㜵慣ㅤ搲㕦㌲㜹ㅤ〹㘵晥㠵〰昷愲昹愷搶ㅢ㤹慦㤸㝣㠶㤱昹摡づ㌰㠳㍡摢挸㝣㐳敥戹㐶收摦㑥ㄹ㥥晦愵㍥摦㤲扢挹挸㝣攷㤴攱昹㕡㘴晥㐳敥㘵㐶收㝢愷っ㑦戱㈲挳敡㈹㥥㕤愵捥㡡㌱搶㠵㝦㍣㉤㡡㑣㌶戹搷ㄹ㤹ㅣ愷捣㡤㐶㈶㤷摣㥢㡣㑣㥥㔳收㔶㈳ㄳ㈰㤷㈷ㅤ㈹慢㤷㔳收㙥㈳㤳㑦㉥㑦ㄴ㈲愳㥤㌲てㅡ㤹㈰戹㥣摣㐵愶户㔳㠶戳戲搴戹て戹㥣㤰㐵愶慦㔳收㈹挳敤〷慥㌹㐲㥣㈵㘵㜱㕦〰㙥摦㥣㠲㘷㄰摦ㅦ愹搹㙢㔴搳㘱捤㠷ㅤ昶㔵㐱㙥攱捥戹〷搴昶戹攸敤愷摥㌹昷挵㠳㈷㝤昰敤收捤㉦扥㜷敥搳摦摥摢㌸改昱㉢慥昸敤㍥㕢㥥㝥㘷㠷搸搶散摢扦㥡扤昵攸昰㡡愳㡦㠸敤㌷㘶挶搱㑢て㕦㄰㥥摦㝦㙣㑥㑥慦㕥㝢っ㜸㘲昰愸搰扡㈳敥㔴て扤戶㔳扢㝡搶㔴㈳攴愸㕣㠸㜳愷㔴愳㍦戸㝡〷搶㈵㕢挹搴㠹扡㘸攳慡捥㕡㠷㌸㠵㡡攸㐰㡡敥㘸㠹扥㘸戴づ㐲摣ㅣ㈱捥愴㈲扡ㄳ愵㜲㤴捣㤷㐸搵㉥〸㌸㙦㡡搴㄰㑢敡㔵愳㙢㘷愷㉥捥㥣㈲戵㡢㈵昵扡㤱ㅡ敡㤴攲散㈸㔲挳㉣㈹㤹ㄷ㔹攲㜰愷ㄴ攷㐷㤱摡搵㤲㤲㤹㌱慤㕥㥣㈱㐵㙡㠴㈵昵戶㈹搱愵㡢㜳愴㐸敤㘶㐹挹散㤸㔶㈲㘷㐹㤱㉡ㄲ愹〲㑥㜰晦搳㘶㤶㌹㤳搵昸ㄹち㘴㘷攴㕦㠸㜳愷㔴㘳て㜰昵㈸搶㈵㕢挹搴㐹㔱攳㐷㠶㜰㔶㠸㔳愸㠸㡥愱攸㔸㑢㔴㘶㔰㡡㡥㐳摣ㅣ㈱捥愴㈲㍡㥥㔲㌹㑡㘶㑥㑡ㄵ㍢愵㌸㠳㡡搴〴㤱㉡攰㐴昷㍦㠵㐰收㑥㔶愳〴〵㈶㈱攰ㅣ捡㙡改㌰愸㉥㈵㈹㈳㈹㈷愹㈰愹㈴愹〲〹㉡㤹㕡㈹㕣㡤㈸てㅡ㄰㌲㔳慣慥愱攴㐴㤲㍤㐹昶㈲㤹㐴戲㌷挹㘴㤲㕡㄰㈵戳㉦㜲敡㍡挴捣ㄱ攲㉣㉣㠰㑣〱ㄷ戰挹晣㑢㈹搷攸攰㍣㉣㔲㔳㉤㈹㤹㠱㈹攵敡㠵㥣㠹㐵㙡扡㈵㈵㜳㜰㥡ㄴ攷㘲㤱㥡㘹㐹挹㉣㑣㈹搷ㄸ攲㙣㉣㔲晢㔸㔲㌲て愷搵㡢昳戱㐸捤戶愴㘴㈶㑥㉢㤱㌳戲㐸捤戵愴㘴㉥愶搴㍣挴捤ㄱ攲㥣㉣㔲昳㉤㈹㤹㡤㈹攵㐲㠲戳戲㐸㉤戴愴㘴㍥愶㤴ぢ〹捥换㈲戵搸㤲㤲ㄹ㌹㑤ㄷ㘷㘶㤱㕡㈲㔲㈱㔳㤰攲㌴㉣㘷敢㙢晦㘵㉤㔴愷㈰㙦㍥㕥㤶挹改㔲㜲ㅣ㈰㌹ㄴ㈷㑡ㄱ扣挶㉤愸㌸㜹㑡挲搵㜶㐲㠸愵ㅦ〴慥攲㡣㈹㐹㔷㜹昲㜰ㄶ㤵㠴㉢㥤㜹づ〵㌷㘴㈶㔴挵㌹㔴㘴㉥昷㘴收戴㈹〹㕢摤〹㈱㌳㝦㉡㑥㤹㈲戱挵㈳㘱摡㕤㜱扡ㄴ㠹换㍣ㄲ〶㕢挵愹㔲㈴㉥㜵㑢㈸捥㡥㤲戰搹㤳挰〹㔱ㄲ㉥昱㈴㜰づ㤴㠴㡢摤〹㈱捥㔵㠲昱㌲〴㌰㈲㌸㑢㠹攰㈶户愰攲捣㈵〹ㄷ摡〹㠲昱攱攰㉡㑥㔷㤲戴搱㤳㠷㔳㤸㈴㥣敦捣搳〶㙥挸捣㘶㡡ㄳ㤸挸㥣敢捥ㅣ㉡㐶〲て挵挹㑢㈴捥昱㐸㜰㤲㤱扡慦㐴〰㜵攷昴㈲㠲ㅢ摣㠲㡡㔳㡥㈴㥣㘵㈷㔸㌷挰㌸〹〹晢㑣㥢㙤摤㠷攵戴㈴散㌳㙣戶㜵〳㡣ㄳ㤵戰㑦户搹搶つ㌰㑥㕤挲㕥㙦戳㐷愱捥昸㡣愳㘱㥦㘶戳攵〶㔸㠸㤳ㅡ慢摣㌷㔷㜱㈶㤳㡣㍦户㈵散㙥慦㌸扢㐹挲愹㜶㠲㈰㝤㈴戸㡡㜳㥥㈴㥤㙣㈷㔹㠶㜰ㄶㄴ昶㐹㌶摢㌲㠴昳愲戰㑦戴搹㤶㈱㝢ㅢ昶〹㌶摢㌲㠴㜳愷㐸ㅦ㙦戳㐷㠹㈱㥣㑤㠵扤捥㘶㕢㠶㤸㘹㔵㜱㈶㤵昴攳散㜴㘳〶㈷㑦㐹㌸搶㤳挰昹㔲ㄲ㡥昱㈴㜰㡡㤴㠴愳㍤〹㥣ㄵ㈵攱㈸㑦〲㈷㐲㐹㌸搲㤳挰戹㑦ㄲ搶扡ㄳ㐲㘶ㄲ㔴㥣昷㐴㘲㡤㕢㐲㜱慡㤳㠴搵㥥〴捥㙥㤲戰捡㤳挰〹㑤ㄲ扡摣〹㜹㥣户㜶捦晣愰㘷㙡㐳ㅤ㜲㜰て攷〷搶戹戵ㅥ㙣㥢搶摥搵㈶㑦挹〵摡ㄶ㉤挷慢㠵晢摢ㅦ挷ㅥ㥢㤴搹㈱挹㐹捡昶㑢戲㈴捦㤰晡㡥戶㤵㤱㜸愴戱㌵㑡㤱戱㈹愵㍢㝡㔳㐴ㅥ摤㤲㍤㌳㙢㘴收ち㥢ち昲㔹搱㝣昵㠳〵昳ㄵ㌳攸㌳㘰㈵㑢㔰愹㤰㐴ㄵ㈷㙡㔹捡㥦㠹㠰攲ㄴ㉣戱戳ㄸ攳戴㐴ㄸ昵〶㄰㉢㜷㌲㘴攵收ㄴ㈴昲㘷㈳愰㌸戹㐸散ㅣ挶㌸㌱㐸敥㜳ㄱ戰㜲㈷㐳㔶㙥づ㉢㤱㍦て㠱㍣㔶昱〷㤸挵㤵捤㡦扣㘱㜳㍥㑡㔰㘲㈷㜴攸㡤㉣ㅤ〷ㄶ〹㜸㙥㤴㐹〸攸ぢ㙣㉥㙥㉡㘵㈹㕡换㙡改ぢ㤹㉣㌶㔲㘶㤳㉤㈳㡢㉣戱㤵摣㡢㙣㉥挲戸慥㐴㐴㜲㕥捣㥣戴㑦戴㕦攲㤴㤱敡㌰攷㘶㍢㤹㈲㈱㔳慤㤰愹㠹㤲挲㈹㜷愹㔳捥㔴㈲㘴捡㔵㔲ㄴ攵㉥㜳捡㤹㈲㐳㉣㠵戸敢㉤〸挰昳㥢摡㈴扥搵㡡㌳㤷挴㉦㤷㜸ㅥ挵扡戹㡤㌶㍦ㅡ㙦㡡戶㈷㕡㕡愳散㤹㐱㈸敥摢㔶摦搵㤹攸戰〶㑦㘷㥥っ㤷昴攱戴〳挵挷扡㐴㠳ㄶ㡢戴挰ち㈶挷㔵㙦㍢㠹〳㜱㝢〷㔵㉦㔸挳㍦摣㤵ㅤ摥晤戸戲挶搴て㤳戲〷搴ㄵ㐰㈷㈸ㅤ㐰愷㠲ㄲ㔷挴㤳攰改㉢㔳㌲愹愰㈵㐳㡣㐵收慡㤴㑣㉡㈸㌲〵搴㉢戵㉦㘰㙥㉢㐴ㄹ〹昵晥晦〰ㄲち摦昵</t>
  </si>
  <si>
    <t>㜸〱敤扤㜷㝣ㅣ挵昹㍦慥㤱愵昳敤戹㘸㕤戰つㄸ㈳ㅢ〴慥㐲愷㝡㌲ㄸ挹㤶㍢㙥搸〶っㄸ摢愷扢㍤㕢㔸挵㥣㑥㉥昴ㄲ㑡っ愱㐳〲愱㠶㕥㐲㠷搰㝢㉦愱㐳㈰〴〸㍤昴〰㈱昴晣摥敦㘷㜷敥昶昶昶㈴㥢㑦昲晡昱挷㜷㝤㝡㍣昳捣昳㍣㌳捦㝢㘶㘷㘶㜷㘶㜷ぢ㔴㐱㐱挱㝦㜰昰㝦ㅥ㐵っっ㕦戴愱㌳㘵戵㤵㌷㜵戴戶㕡戱㔴㑢㐷㝢㘷昹攴㘴㌲扡㘱㑥㑢㘷慡ㄷ〴〲换㕢㤰摥㔹扣扣戳攵㐰㉢戸㝣慤㤵散㠴㔰㜱㐱㐱㌰㘸ㄴ㈲㝤㑢攷捦搴ㄱ㠳㕡㐶ㄱ〹愴ち㡣〰㐹㙦㤲㈰㠹㐱ㄲ㈲改㐳搲㤷愴ㅦ㐹㝦㤲ㄲㄲ㤳㘴〰挹㐰㤲㐱㈴㠳㐹戶㈰ㄹ㐲㌲㤴㘴ㄸ〹昳㌷戶㈲搹ㅡ愴敦㜰㤰挵㑤㔳收㌷敦て㙦ㄶ愵㍡㤲搶昸搲㍤敤㌲㑦ち㠷换挳攵㤵㔵昵攱昲㡡昱愵㑤㕤慤愹慥愴㌵愹摤敡㑡㈵愳慤攳㑢ㄷ㜴㌵户戶挴㜶戳㌶㉣敥㔸㙤戵㑦戲㥡㉢慡㥡愳搵㤱㜰㜵㑤㑤愲扥㍥搲㜷ㅢ㔸㥥搷㌴㘵㐱搲㑡㜴晥户㙣㡥愰捤昹㑤㔳捡攷㔹愹晦㤶捤㙤㘱ㄳ㈶愷㜶戴㐵㕢摡晦㑢㐶㡢㔹愷㌵㔳慤㔸ぢ㉢摦戲㤲㉤敤㉢换㔱散㉣愰ㄱ慢㉢㥦摣搹搹搵戶㠶敤愸挹㙡㙤㕤㘸㈵愴搲摢愶㜶愶ㄶ㐴㤳㙤㥤㝤摢㠸㥦㤵戴摡㘳㔶㘷晦戶㘹敢㘳㔶慢㈳搸ㄹ㙣摢㌳㥡㥣ㄷ㙤戳㡡ㄸ㈸㘹戳敢㜰㔶摣㙡㑦戵愴㌶昴㙢摢愳搳㕡ㄸ㙤㕦㘹㔱愴戸㙤㐶㔷㑢㕣ㄵㄵ攱㔷搰㙢㐷扦㤲㐹㐵愱㍣㙤㑤慢愲挹㤴挴㔸㠵㘱㍦㔹㔷㜳ㄱ㉦戲捡挵㈶㔵敡搱㘲㥤㉤㙡㘹摢捤㑡戶㕢慤捣㠴㌵㌹捥㈳㈴〰搹昵㤰㐶㑡扢挳㕡㔲㝤㥣㤳㡦扥㌰㤷㐰㈹挸㠴㌹ㅤ㉢攷㜵㈴摢搰㈶攷㕡搱昶㐹ㄵ攵㌵ㄵ戵攳ㄷ愵攲㔳慤戵㠸㔴㌰㌶愷㈳ㄶ㈵挶㤳㉡㡣㤱㔰㌱㐶㔱㜹㍢㤰ㅤ愶戶㔸㥤㔶㙢㘹㌴㔵㥡戴㔶㐲㈲摡㕡摡㠹戳㈰扡搲㉡ㅤ扤㝡㘵㘹搳晣捡㥤㔶慦ㅣ㘳㙣㑦慤㌲㄰㔵昴㉡扡〴㜷㐱㜸㕡ㄶ㉥㡦ㄶ㉥㙦㉥㕣ㅥ㉢㕣ㅥ㉦㕣㙥ㄵ㉥㑦ㄴ㉥㕦㔹戸㝣㔵攱昲㤶挲攵晢ㄷ㉥㕦つㄹ㝤〴㝢昷㉥㜴㡥㤷慥戸㝣摣㠷㉢敢㘶㥥晢晥㤱搳扥摣攵晥㈷ㄴ㝢〱改㐴㜶㐴愰㜲㜱戲〵昵搷搵ㅡ㑤㡥㥦摢搲㍥愹㉥㕣ㅥ㠱㉢㉤慢慤㔶ㄴ㍡㌵愹戲扡愲扣㉥ㅣㄹ㍦㌷扡㝥㔲㘵愴扡㍣㔲㔹㘷㡣㠶㥥㌱〶㈴㌰ㄶ㘴㙢ㄴ扦戴㈹扡㠶㈷㙥改戴㜶㉢戹㜲挳昸搲戹戳㜷㑡㠱㙦㡣愳攸㜸㄰愵㥥㠷㑢㜴敢㥡㜷㥦㝤昱愹㡦㉦摥敤㤶敤〶㕥㌴敡慤ㄷ㑥㔷散㤰愴㍣攵〸㡣昵〰ㅤ㠹㤴㔷㙡㥣㈳挸摤㡤昲㑥㌴㕥〱ㄲ〸㠳っ㔹搰搱扡㈱ㅡ㑢㙥㘸㡤戶戵挴㠱㉣捡㐰㔴㉢㈹㔵〵愲搴㤳㑥ㄱ㍥搹扤攰㠸㠷㡡㥡㘶㥦ㄶ㠹摣扢㝥㥢挷㐳㡡摤愱ㄴ愱〶㠱㝡㑦ㄱ挲攵㔵ㄱ㕤㠴㡡昲㜰㔵㕤扤晢㠸戸㑢㔴换扣敡㐰〲ㄱ㤰愱ぢ㔶㜵㜴慥㔹㠵晡㑥㘵㔷㜴㍤挵㈶㠲㈸昵㤰㔳愴㥢ㅥ㝤㘹㜹攷㕤搶㙥攷敥㜷㕡㉡昸攵〹㡢ㄵ㍢㘷㈹搲㉥〸㡣摥愳扤㈵㠱收㈷㔵ㄴ愹㈸慦慥㤱ち愹慦㉤慦愹㜲ㄷ愶搲㤸㐴搳扢㠲〴ㅡ㐰戶㕢㤰散㔸戳㈶摡㥥㉡㐵㜷摡摥戹愶㈳㤹㉡㡤㘳っ㠹攲㑣㐷搳㙢ㅢ㌳戱㙡愲搱㐸㤵挹㈰㑡摤敤㤴收晥〵㍦㉤つづ㌸㜲捥昵㠷㈴愶〴捥㘸摣慦㤸ㅤ㐶㤵摦㤹攴㍤㐹愷愳㜳㡦㐵㍢㔳㑥晦㐱㉦晥扢摤㑢捦扤换昴㘴散㝦摦扢㈰㤳晦㑡敦㘲㌴ㄱ晤愹㈰㠱㘹㈰㘵㝢愱慤㈴㑢ㄳ挹㘸㙣㘲㘹改㡣㤹㌳㑡㕢摡搶㐴㘳㈹摤㑦㔸〷散㌴㘳昶ㄸ㘳㍡㤵㘶㠰㈸㜵慢㔳㘵搷㝥戸㝥攳㌶㑦㌴捥扢㙣改愷捤ㅢ晢晣戳㕥㜱㑣㤷〶㌴ぢ〱敦㘹ㄵ慥换㥣㔶攱昲扡慣搳㙡㌶㡤敦〶ㄲ㤸〳搲㘷㘶㔳㙢晡㕣㥡换愴㜹㈰㑡㕤敦攴㝢昳㕦扥㍡敥戹戱愹㔹愷敥扦㙢㘸昶㔹攵㈷㈸㑥㈳㘴㝣㔹㐰攱摤㐱〲ぢ㐱慡搸㑤搰慦昱愵ㅤ㕤愹搶㡥㡥搵ㄳ㑢㥢㌰戱㤱㠱㘹慤㔵扡㑥ㅣ㜷扣㉤ㅤ㍤㐷晣㕣㐴ㄳ㡢㐱㤴扡捡挹㙦捣㡦㐳慥㤸晣收㙥㜳捦㕣㝦攵昰〱ㄳ㐳ㅤ慡て㤲挵捦㍤㤹㡢户㍢慢㡡㤴㠷慢㕤晤㔹㍤晡戰捡㉡㌹㝢挲㤵㔵ㄵ攵㤵㌵㌵挶㕥捣㘵〹㐸㘰㙦㤰慤ㄷ㜷愴㑡ㄳ慤攸晤㑢搷㜶戴敥㠴㤳㠵摤㜴㕢搵㤸㠹㤵ㄳ㡤㝤㈸扡㉦㠸㔲ㄷ㍢〵㝡昹㤳〳㙥ㅤ晥㐲挵慣慢㙥㕤戸㜶户戵㌷㝤慦㌸㝢㤲〲敤㠷挰㜶㥥〲戹换㔲㈷挵愸慥㌳㤶搱敡㜲㤰挰ち㤰㙤愶户㜶慣㙢㡥挶㔶㡦㉦㉤㉢敤㐸㤴戶戴㜳摡㘴挵敤㐲ㄹ㔱ち㌷㠳㈸㜵慥㔳㠴㑦捥扢愹㘱㘹㑢摢摣敢〲㥦㡤昹敢㠷敤㘷㉢捥摤愴〸㜱〴㜲挷慥㐸㔵㔵愶㐳慢㘰捣㌵㜶㔹戴㥦〰〹慣〴㈹㤱敡摦㉤㌳㐸慤㘲㜲ぢ㠸㔲㘷㍡搹㥦昷搷攲ㄷ摦㍡昷戳㈹愷散㔳昵愷扡攷挲摢㉢捥ㅡ㈵晢搵〸㡣昳㜴愷㤵攵戵慥㤱戳ㄲㄱ㔷收慤戴摥〶ㄲ㘸〷ㄹ㌰愷〵攳㠹㙥晢搲㥢㜷㔰㘰つ㠸㔲㈷㌹搹扦扥摢昱晢摦㍡㙣挶摣ㅢ捦㡥散㘵㝥昹攷晤ㄴ攷慢㤲㝤ㄲ㠱㙤戲扢捥敡㜲扢敢っ㔷㔴搷㤴㐷㙡㡣㑥摡㑢㠱〴扡㐰戶㙢㕡㘵戵戵挴㌰㍥㜷搳㕦慥愵捡㍡㄰愵㡥㜳㡡㔰昴扢慤晦昱改㡡ㅤ㈷㥦㔵晤挹㤵搶㔷㈵愶攲㙣㔹㡡戰〱㠱㙤戳㘷づ㜵㤵㉥晦㉢㙡㉢㙢㡣〳㘹昱㈰㤰挰挱㈰㠳攷㕡愹㔵搱昶づ㥣㜶慥挹挱㈱㤴㌹ㄴ㐴愹㈳㥣㕣敦慢敥㜵改㥥㤳て㥦㜵挱摦㡡㘶慤昹㝡挹摤㡡搳㜳㌹昵づ愷昰ㄱ㈰㠱㈳㐱㐶㘵㜵㉡昶㄰㥤敥㔷㌰㑡戲㐷㌹㡡ㅡ扦〲㔱敡㈰挷晣昸晢ㅥ扣㙢㥢愵㤷㌴㕤㝥昴㙢〷㥤㍦㘳攱㑡挵㠹扦㌸㜵っ〲㍤攰㝡㉣敤ㅤ〷ㄲ昸㌵㐸捦戸攲摣摡㐸㤵攳㐱㤴㑡㌹㐵㈸摣昱攲㔵㕤㡢㔴搳㍤搵敦㉤㝣户敦㌵扦㔶扣散㤰㈲晣〶㠱摣㠶㕤㔵攷㙥搸㡣戹摡搶㠹戴㝦ㄲ㐸攰㘴㤰ㄱぢ昶㙣㉡㕤搳戲挶㉡戵搶愷㤲㕤㥣㐲㘷攱㝤ち愵㑦〵㔱慡捤㈹捤㔱㜷て慥㜸㙢摦㉦㈶㥦扢愰晤戵敦㝥㥣昵戴攲昵㡦㤴收㜴〴挶㜸摡㜹愴扣愲㕥㥦㘵戸挲㜱㤷攴っ摡㍥ㄳ㈴昰㕢㤰慤㔸㤲〵㉣挹戴㑣㐹㥣挹换敦㈸㜹ㄶ㠸㔲〹愷ㄴㄷ㙥㑣ㅥ㜱摥㙤晤ㅡ㉦扣攴㤰ぢち捥㍥晣㘰挵ぢ㌰㈹挵敦ㄱ搸昴㤹挲㌹㌴㝤㉥㐸攰㍣㤰㥥㘷ち愸愱昳愹㜲〱㠸㔲换㥤搲㑣㤹㜷敡攵㑦晦晥昹㔹搷㡣㝤㌱昰搷搹㔳挲㙡〸㤲愵㌴㝦㐰㘰愲〷ㄳ㑣㥢摤ㄵ㔴㔳㔵㤱㜵搴戸㐱扡〸晡挶挵㈰㠱㑢㐰㠶㘰昶ㅦ㕤㉢昳敢㜴㌵愱㑦㌶㉥愵搴㘵㈰㑡㉤㜱㡡昴㘰㑢挱换㤳攳㠷捤扥昶搰ㄳ捦㕥扤换愵㍢慡愱㐸㤶㈲㕤㠱挰ㄸ㜷㝦㔰㔷㔹㕥㕤攱㜴〸昵㔵攵ㄵ敥愹㕤挴戸㤲戶慦〲〹㕣つ㌲挲㤹挵攷改ㄹ㡣㍦㔲晡ㅡ㄰愵㜶㜷㑡昲昱ㄵ慦㝥戱昳㌳㙢愶㕣晤搹㕤㝢㈷晦㝥搰昱㙡ㄸ㤲愵㈴搷㈱搰挳ㄹ㜴㍤敤摤〰ㄲ戸ㄱ愴戴愷㥥挹戸㠹昲㌷㠳㈸㌵摢挹晦ㅦ㡢ㅥ扥攵晢挰扣搹户㈴慥ㅢ昳摡扣摤晦愹戶㐴戲攴晦㈷〴㌶扤愹摣㑡搳户㠱〴㙥〷㈹敤㘹㔲㘹摣㐱昹㍢㐱㤴㙡㜲㡡昲慦㘵攱㘷㙢㕢ㅥ摣敤晡㤲挷晢㡣ㅤ扢昱ㅤ戵ㄵ㤲愵㈸㜷㈳㌰摥㌳㑡㠶㜱愱攱ㅥ戴㉢换敤戱戲戲扡慡扣搶戸㠷收敦〵〹摣〷㌲㠲ㄳ㡢㍣㤵挲㈱晢㝥㑡㍦〰愲搴㉥㑥㘱㥡㜶改ㅣ昹敤昲戱㜳捥扡㙤攴摣㍤㕥扦㌰愴戶㐶戲ㄴ收㈱〴㌶愳㠵㍣㑣摢㡦㠰〴ㅥ〵ㄹ搹㝤ぢ㘱㘱ㅥ愳挲攳㈰㑡搵㌸㠵昹愸摦敤换㕦ㄹ㍥㙦挶〵㕢扦㌸扦攴攳摤㈲㝤㥦㐴昲敥捥㐵攸搴㘴㜴ㅤ㉥敢㌳㜷っ㉡换㜱戵戹㈹户㑡㜰愷㈴㔱㤳愸㑢㠴挳昱㥡㡡㘸㔵戴㜸㈴捣㙥敡㌵㌹㠷慦扥㠹扤㕡摡攳ㅤ敢攴㈲㝤昸㤴㘸愷㤵㤹㔵㡦㜳搲愶㜴㜴戵挷㍢户昶㑦㕣㤴挲㤴㙥㉢㙦㕡挶㐸㡥摡㈲摣挲戰㍡㈵扦ㄱ㕥戵㍤愳慤㕤搶攴昵㉤㜶昲㌶㥥㘴摣挰攸㘸捥㥦㍡㍤㘹ㅤ㤰㑥捤㈹搱㘴摣㘱㕢㉢戶㜳扣戴㤳散㜲攱っ散攸戴摡愵㜸攳摡ㄶ戴挴㔶㕢挹㐵ㄶ敦捦㔹㜱㜱㜵ぢ㈶㌹㜷㔱挶捤㙦㠷愳戸㉦ㄲㅦ攵收㈶搰挳㕢敤㜱㉢捥㔳挸㑡愶㌶㉣㡥㌶户㕡㐳戲㐴散㍣㤱戰㘵ㄶ㝢㝡㐷慣慢ㄳㄳ收㔴戲愳㌵㍢㘵㜲㝣㉤慦攷攲㜳㍢攲ㄶ㙥扣ㄴ昱㈸㔰〵扤㝡㈹㔵㌰搶敦㥡㡤㜶㍢换愵㈲㕣㔵扣つ敡㝣㔸㜶戳㉢㕦〸敦攰㐵慢挵㌶㔹戸㝤て挶挴㉥捤㡣挹㉦攸昲㠹㌷㌳㈹㍤㍡扦戴㤴㌱㕤㜳晦㕢攱挲挲㐱㡥昷搳搶攲敥搶捣㘸㝢扣搵㑡㜶㝢㉢㔶戱㐴挶㔳㈰挵㤵㌸㥢昳愲㔷〴〹戵㕥㙤㈸㕥搷ㄲ㑦慤ち慣戲㕡㔶慥攲㥣ㄳ户㙢㠳㐱㐲㥢㜳ㄸ㑦㠳㘵㍣㐳昲㉣㐸㈸㔴㄰㜸㡥㐲㠱㤰昱扣ㅤ㉦ㅥ㠵晦㌷晦扥㔹㈱戴っ戹㑦㠷㥢慡㥤挵㙤戸㕥敦散搵换捦换㤹搱捥㔵㈹㌶捦敥ㄳ㘹敦〵㤲ㄷ㐱㡡户〷改昱戶ㅣ攷攷㐵扣晢搸慦㙤慡㤵㠸攲㥥慦㥣摤㉡㕡摣㘶摦㐶㥣㙡㜵挶っ摥㙦㥣㠵㜳㘵㝤〰㈱㥣晣㝤摢搸晡㌱㔹㥢ㅡ㑤㐵㝢户攱捥㈵㙡挹㠰搰㌸搱戲㐳搴散㈷㍣慤ㅤ㜲㘲戰㘰㑡搰㘵愵㡦㌰㙣㑢㌸㜱㜰扥ㄴ昴㜲㘸昷㑥愰散㈳攰㐴挰摢搰戳敦㐰攲挶㘸㝣㠶搵扥㜸挳ㅡ慢㤳攲挱㐰户㔰㝡㑦㉦ㅡ㥢ㅦ㙢摥㈳搵搲摡㔹㡥㤲捥㐸㜶㜴慤昹㙦摡愱㉤攳㈵㄰㝤ㄴ㡦㐱㉢摥㜴㥦〰㔷㐱敦戵慣㥢攵换ぢ㠲戴㐶㡥戱ㅤ〹㕢㉢㡣晤〷晦挹㘱扣㡡晦㐲摤愵ㄵ㤷㐱㘲㜳敥搶ㄶ㐳扥㙦ㅢ㄰㕡㥣戴攴晥㜳㔰㈲㐰扢㕦摢㕥ㅤ挹搵捤戸挷挰昶搴㕦㘲㥤慢㉣㉢挵㝢扡㝤㥣㝢搸㜲慦㕡愹㕥扤戲敥戳扡㙥晥㙥ぢ晢㠱搷㐱晡㑤㙥㙤㉤搵ㄶ㍢〳㙦㠰搵ぢ㜷㤷〳㙦㈲㔰㍥愷㘹㌲㙦攰捡慤つ晢ち扤㜳㐲㘹㔳ㄲぢ㌸戸㡡㥣ㄲ㙤㙤㥤㔰扡戶扡㍣㕣ㄹ㉦㕦摦摡戹㕥㙤ぢ㑣㜸ㄷ昴敤㘱㕦挵㕦㥤㜶敤晣㜳扥㌸晥捦㍦㍤昷㙥㔲㡤㜰ㄲ㜲㙥搷㡥㐶㉥㈳昱㘷扣つ愲㠶㐳㡣㝤つ挲搹㠷昱㉥攲挶㝢㈴敦㠳愰挷㤰㍡㐰㠷昱て㍢慡挶攰㝦㜶ㅡ挶㠷㈴ㅦ㠱愸㜱㈰㍣㘵㡤㡦㐱昴愱〶挱㍥㕢㠲搴收㔸戰㜳㙢昳㜳㜰㐳㐶㌷㘹㙡㍣㈴㔸愳〶ㄱ㌴㠸㤹昱㈶㠸㌲㘰搸ㄷ㠰愰㤳㤰㜳㝦㜸㈷愸〹〰摦㔲㍦〰㌱㝦〰扥㐷戲昱〳挹㡦㈰㉥〰〸ㄶ愲慡〲晦ぢ〰㙣愷〶捦㜶㔵〹㤶〰㔰㐸㘷㥤㐳晤昸㤳ぢ㠰㌰戸戹〰〴㈰ㅦ㌲扡㐹㔳㔵搰昳〳攰㑢ㄸ昷〵攰ぢ㈷㈱攷敥㜴㉤㉣㡤㘴㈹㑡㔸攴捦㈱收て挰〰㈴ㅢ〳㐹〶㠱戸〰搸挲㡥慡㍡ㄸㄱ〰㠶㔰㘸㈸㠸慡〷㑢〰ㄸ㠶㤸㍥搴晢㙥〰㈲㘰攷〲㌰㥣㌶㡤㙥搲搴㐴攸昹〱昰户㝣〰扣收㈴攴摣ぢ㥦〴㑢㈳㔹㡡㌲ㄶ昹搵扣〰散㠸㘴㘳㌴挹ㄸ㄰ㄷ〰攳散愸摡ㄵ㐶〴㠰昱ㄴ㥡〰愲ㅡ挱ㄲ〰捡ㄱ搳㠷㝡搶つ㐰〳搸戹〰㔴搲愶搱㑤㥡㥡っ㍤㍦〰ㅥ挹〷挰挳㑥㐲捥敤昷㈶㔸敡㘶敥㥥㜵挷㝢㌰㘴戳收敥㝤ㄳ搳㕢㕡㜱㔷㔹愶㘷㈵〹晣㘷慦ㄸ㑡扣ㅦ愷愴戸㉢㙢慦挵つ㑥㌴㘱㔶㡡㈵捡搴㠶捣㍣㍤㘷㔶㙣㑦ㅡ晦摦摣晦ㄷ㌷昷㤷㤹㝦搶晣扦㥢戹㌵ㅡ㡤㘷昶摦扤戰慢ㄱ㜱摡敢㍢㔲㑢㤳㉡㠷攵散㐶㐶㜹敦戴㐲搶㘱搳昲敥㐶㐸改㡡晣搷〴㙣散戹㡤㤴㑡㜹攷摦晦敦敡挵㙦㈳㠹㝤昵戲㌳扡㌱㘳ㄷ㤲㐹㈴扢㤲㌴㠰愸㝢㥤㙥㤶〲晢攰敦挱挲㠲㠲户昱㝦㠱㌱ㄹ搴㤸㐲搲〴攲敡㘶愷㈱ㅡ㤸づ㔲愲㤷〱㑢敤㈶㠶挱㜷㉡㌴愵敢㥤㐱挵㤹㈰㝤㘷㠱捣㥢㘹戵攲㑡昸扦戵㜹愳㜸㍡戲改㝥敥㡥昶㌳㄰㐲㐳摡ㄶ㙤㘸㡦慤㑡㜶戴㘳ぢつ㉦㈹㈶挷戰晢愱㔳㐵〳㙤㜳㍡㥡扡㔲㠱戶㤹㉤昸慦㙦摢㐲㙢㡤ㄵ㑤㌵攱㑥〷慥㔷收㘰㘹㔳慥㐶㘶挵搷晦晦㜹戵㔲㔰〴ㄷち㌸㠵搱ㄷ㉣捡㝢昶摡搷つづ扣攵㔳㍢戰㤳挶㤲㑤㐴㠴㍤㄰挰㤵攷㉦昰㜲愴挰㤸㡤搲㥤晦捦㉢㜷㉥㍢昷摡晦㌸晦ㅦ㠶㈹㥦ㅣ挶㌴㌸㥤㍢ㄲ捦㠵㑡愸扢㌴㌵〳㝡改㤱㌸戰㤰戰愱ㄹ搸ㄳ搲慢昳㡤挶㔷㌹〹㌹㉢慢戳㘱㙤㈴㑢戲㈷っ愹㉢㥣昳〴㡣散挳㔸㠲㘴㘳㙦ㄲ㥥㍦㌸㑦〲晢攲晦晥戸㜴攰敤慡㘸㜳㑢㉢戶搰㘰㠲扥ㄴ摣挰㝥㈰〳㌲ㅢ㜵昴㠹愳搴㙥戰㉡㈷捥㌲㐸ㄸ换㐱搴㕣戰㘴捥戲〲㌱㝤愸昳㔱㤰昴戴㝤づ搸戹㐸挵㈱ㅦ㌲扡㐹㔳昳愰㤷㐶捡㌵㙤㍦㈳ㅦ㑡愷㍢〹㌹敢挰ぢ㘰㠹昳ㄶ愳㡤攵㙥㈷改㈰㔹㐳㜲〰㠸㍡搱㐱慥〱㍤㑢㈷ㄸ㤹ㅥ㠶㌱㈳㐵搲〵攲敡㘱搶㤱挷ㅥ〶㍤捡敥㌰㉥挰㙣㈰昳㐰㄰戵〸㉣昶〰㔸㑤㐳㌴㙦㌳㕡㐸㠹㥣㉢搴㐳㘹搶攸㈶㑤㉤㠶㕥〶ㅣ㌶㈳扢〹ㅤ㤴て㥣〳㥤㠴㥣㐵敢扤㘰㘹㈴㑢㜱㉣㡣愸昵づ㄰㘰㘴ㅦ挶慦㤹挷㐶㤲攳㐱㕣㐰晣挶㡥慡㈵㔰㄰㄰㑥愴搰㐹㈰㙡ㅦ戰愴㜵㥣㡣㤸㍥㔴〷昲㐸户㡥扤挱捥〵攰㜴摡㌴扡㐹㔳晢㐲㉦〳㐰收愲捥捡〷㐰摣㐹挸㔹㈴㕦〶㑢㈳㔹㡡㜳㔹攴收扣〰㥣㡦㘴攳〲㤲ぢ㐱㕣〰㕣㘴㐷搵㜲ㄸㄱ〰㉥愶搰㈵㈰㉡ち㤶〰㜰㈹㘲晡㔰㝢扢〱㔸〱㜶㉥〰㔷㐲㍥㘴㜴㤳愶㥡愱攷〷挰晣㝣〰捣㜳ㄲ㜲㤶攸㉤㔸ㅡ挹㔲摣㠸㑣搵㥣扣〰摣㡣㘴攳ㄶ㤲㍦㠱戸〰戸捤㡥慡〴㡣〸〰户㔳攸づ㄰戵ち㉣〱攰㑥挴昴愱㥡摣〰慣〴㍢ㄷ㠰㝢㘹搳攸㈶㑤戵㐰捦て㠰晡㝣〰㐴㥣㠴㥣㑤〲慤戰㌴㤲愵㜸㡣㐵慥捤ぢ挰ㄳ㐸㌶㥥㈴㜹ち挴〵挰搳㜶㔴戵挱㠸〰昰っ㠵㥥〵㔱ㅤ㘰〹〰捦㈱愶て㌵挱つ㐰㍢搸戹〰扣㐴㥢㐶㌷㘹㙡つ昴晣〰搸㉥ㅦ〰愳㥣㠴㥣㙤ち㥤戰㌴㤲愵㜸㠳㐵㉥捤ぢ挰摦㤱㙣扣㐵挲改㤷ぢ㠰㜷敤愸攲慤㘴〱攰㍤ち扤て愲搶㠲㈵〰㝣㠰㤸㍥搴㔰㌷〰㕤㘰攷〲昰㌱㙤ㅡ摤愴愹㜵搰昳〳愰㕦㍥〰晡㍡〹㌹㥢㈴づ㠴愵㤱㉣挵扦㔸攴㔰㕥〰晥㡤㘴攳ㅢ㤲㙦㐱㕣〰㝣㙦㐷搵㐱㌰㈲〰晣㐰愱ㅦ㐱搴㈱㘰〹〰㍦㈱愶て愵摣〰㜰慦㐵㉥〰㠵㠵〴愰㥢㌴㜵㈸昴晣〰昸昷㡦㜹㙥散㝣敤㈴攴散搷㌸ㅣ㤶㘴㠸散㠳㑣㡤扥㈴晤㐸晡㤳㤴㠰愸捦愱捡㥢㍤ㄷ㐳㤲㈳㐰㘶㠸ㅣ㐰㤹㠱㈴㠳㐰㕣愰㙣㐱㥥㌳㐴ㅥ〱戵㔱昸㌳㠶㤲㌹っ㐴ㅤ㠵愸㍤㐴㙥㠹㘸摥㈱昲㐸㙡攵っ㤱挳愱ㄲ㌲扡㐹㔳扦㠲㕥〶㥣捣㄰昹户㝣攰扣收㈴攴散㌶㌹ㄶ㤶㐶戲ㄴ㘵挸㔴扤敡〰〱㐶昶㘱散㠸㘴㘳㌴挹ㄸ㄰ㄷ㄰攳散愸攲㉥㤴㔱昸㌳挶㔳㘸〲㠸摡㠸愸戴㡥㜲挴昴愱㥥㐵ㅥ改㈱昲搷㘰攷〲㔰〹昹㤰搱㑤㥡㍡ㅥ㝡ㄹ〰㌲㐳攴㈳昹〰㜸搸㐹挸搹敢㜲㈲㉣〹〰㍢戳挸て收〵㘰ㄲ㤲㡤㕤㐹㌸㤱㜲〱㌰搹㡥慡㤳㘰㘸ㄴ摤㤹㐲愱㈶㄰㜵ち愲〲挰㔴挴昴愱敥㜰〳㜰㌲搸戹〰捣㠴㝣挸攸㈶㑤㥤ち㍤㍦〰慥捦〷挰㜵㑥㐲捥昶㥡㌳㘰㐹〰搸㥤㐵扥㈶㉦〰㡢㤰㙣㉣㈶搹㠳愵换摣昹摥换㡥慡㌳㘱㘸ㄴ摤㔹㐲愱扤㐱搴敦㄰ㄵ〰昶㐱㑣ㅦ敡ㄲ㌷〰扦〵㍢ㄷ㠰㘵㤰てㄹ摤愴愹戳愰攷〷挰敦昳〱㜰戶㤳㤰戳戳攷ㅣ㔸ㄲ〰㔶㑡㤱昳〲搰㠲㘴㘳㝦㤲搵㉣㕤〶㠰㌶㍢慡捥㠵愱㔱㜴愷㥤㐲ㅤ㈰敡㝣㐴〵㠰㌵㠸改㐳㥤攴〶攰㍣戰㜳〱㐸㐱㍥㘴㜴㤳愶㉥㠰㥥ㅦ〰㐷攷〳攰㔷㑥㐲捥㘶愲㡢㘰㐹〰㌸㠴㐵㍥㌲㉦〰㠷㈱搹㌸㥣攴〸㤶㉥〳挰㔱㜶㔴㕤っ㐳愳昰㘷晣㡡㐲㐷㠳愸㑢ㄱㄵ〰㡥㐱㑣ㅦ㙡㠳ㅢ㠰㑢挰捥〵㘰㈳攴㐳㐶㌷㘹敡㌲攸昹〱搰㤱て㠰㜶㈷㈱㘷敢搲㤵戰㈴〰㥣挶㈲户收〵攰っ㈴ㅢ㘷㤲晣㤶愵换〰㜰㤶ㅤ㔵㔷挱搰㈸扡㜳㌶㠵㝥て愲戸㘱㐹〰㌸〷㌱㝤愸㤸ㅢ㠰慢挱捥〵攰〲挸㠷㡣㙥搲搴㌵搰昳〳㘰敦㝣〰㉣㜱ㄲ㜲㜶㑣㕤て㑢〲挰ㄵ㉣昲㥥㜹〱戸ち挹挶搵㈴㝦㘴改㌲〰㕣㙢㐷搵つ㌰㌴㡡敥㕣㐷愱敢㐱搴㑤㠸ち〰㌷㈰愶て㌵搷つ挰㡤㘰攷〲㜰ぢ攴㐳㐶㌷㘹敡㘶攸昹〱搰㤴て㠰㈹㑥㐲捥㤶慤㕢㘱㐹〰戸㠷㐵㙥捣ぢ挰㝤㐸㌶敥㈷㜹㠰愵换〰昰㤰ㅤ㔵户挱搰㈸扡昳㌰㠵ㅥ〱㔱㜷㈰㉡〰㍣㡡㤸㍥㔴㥤ㅢ㠰摢挱捥〵攰㐹挸㠷㡣㙥搲搴㥤搰昳〳㘰㐲㍥〰挶㍢〹㌹ㅢ挵敥㠱㈵〱攰㐵ㄶ㜹㙣㕥〰㕥㐶戲昱ㄷ㤲㔷㔸扡っ〰㝦戵愳敡㕥ㄸㅡ㠵㍦攳㌵ち晤つ㐴摤㡦愸〰昰㍡㘲晡㔰㈳摤〰摣〷㜶㉥〰㙦㐱㍥㘴㜴㤳愶ㅥ㠰㥥ㅦ〰㐳昳〱㌰挴㐹挸搹㥣昶㌰㉣〹〰ㅦ戱挸㠳昳〲昰〹㤲㡤㑦㐹㍥㘳改㌲〰晣搳㡥慡㐷㘰㘸ㄴ摤昹㠲㐲㕦㠲愸挷㄰ㄵ〰扥㐲㑣ㅦ慡㡦ㅢ〰敥㙣换〵攰ㅢ挸㠷㡣㙥搲搴攳搰昳〳㐰攵〳愰挰㐹昰㙥㠸㉢收〶㥢捤搸挸搴㠷〵㑥散搹㘲慤攳捥㡢晥〹㍣愲搶搴㠵攷慤㘴㥢㐸扦挴搴㡥㜹ㅤ愹愹㉤㥤㙢㕡愳ㅢ〶㈵㥣挰㕥慢慣㜶㙣攲㑡㘲㉦㤷㠷㠷攷㘷慣戸㤱㔸搴搱㤵㡣㔹戳愶晥ㄲ㌶㜹挱㍦㔴㥤散敦㉡㔴㌸㝥摥扥愵〲㘸愲㤵攰㈸㈸㝥ㅡ〶扤摢㑦㕣ぢ㌴㤹戵㐰ㄳ㠲㈵ㄹ㐴ㄷ户愴㕡慤㍥〹㐹㤷㜰㌰〱ㄴ戱㌳㉥摥㍢戱㜸ㄵ戶㘵㑣敤㤷㤸㤱㙣㠹户㘲ㅦ㍦㉢〳敢㡢㝣敥㙦㡥戵ㄲ扢攰ㄶ㜴㜴戶昰㜹戹㝥㠹挵昲㜰ㄲ㌷昴挴㌶っ捣㡡挹扤昶攲挴㤴㤶昶㑥㘴㈳戵挸㜰㐹㘲搱慡㡥㜵㜸㍣戶慢慤㝤㐶㜴㑤攷㉦愲㔶ㄴ慢㐵づ愹ㅡ㔵愸ちぢ㔵戰㌰昸㜳敢㈷愰㝡㘱㤹〲㍢愸摢攵挱挳㔲㌴搵㔴戲愵戹㡢㤸㐹㌶㤵愰㐵㈴㔲㡤〵挵捦㈰搴捤㌲ㅢㄷ摢㥣敤㠹摣㝡挷攲㘶㍤㥡攵扢ぢ㉣晤搸㌱ㄷ搸㡣㐲㤴愸㙦㉦㤰搹㌳昶㤸㤵搹㤴晡㝦㝡㠶户昸㔹㔸昶㉥㕥㜸ㅢ㕦㝡て攰ㄶ㄰敥㙦户㈲昲搸愸㜰㜲愲㌱㌰收㙤㤹愱㠴挸戰㤱昶捦〴愷㘳ㅢ㔹摦挴㥣㘸戳搵㡡㘵慡戶㘸慡扦ㅤ攱㤲㈳ㅥ昰散㜴搲㥡㍡摡摡愲㙣㜵㙣戱㡢昰㑣㠸ㄵ㑣㑣敥㑡㜵攰㈹㐹㈳〱㈲㑤搳㘱㐵搷㠳ㄵ㕤㉦慣扥㠹㠵摣ㄵ㉢㘱摡敡㔸ㄹ㑤戶愴㔶攱戱㤲㈰㈳摣戹晡㡢㘸慥攸㐲㡡〰愶㍥㜴㜷攲㕤㍣戳㤷㤱㔰摤攵㔸捡㈳㜴慣㝥㌴敡㐲ㄵ挰㍦昵㌳㌷㑤愲昳㤱㌱挵攰㐳捣挵ㅣ㝢搸ㅢ挹昱昹㝦㜴攰㌰〴愴㝦㔲捦㔳〰㝦㐶〰攲っ昰慦攸〵㤰㙥㜷搴昵㠶㐰㘸㑥㐷㌴㍥ㅤㅢㅣ㍡㤲扤㥤㘷捥㠳愸摡㌵攸㙤㤲㈶昷㌸㌶㘱摢㉣搶㘳搶戶挴慤㘴㤰㡣㐵㔸㄰㉣攲敥挸㠰㕤㠷㔸㉣敡㔵㔰㕣摣㈷攸㤷搷㉣㙤㙢㝢㘷攷㤸晢㤹晤㔹㌹昶㍦摥㍤搲㠰㐲挱㉤ㄹ愵㝡挳ㅤ㈳㐸㥦㕥〴㤳晥㜸〴昸摣扥ㄱ〲㈹收㍥㍤㙦摤㘴㙦㌷挴愶㐴〳㐲㐵摣昳㔶挴㡤㤰㐱㙣ㅡ㤴ㅤ㤴挵攲㐸ㅦ搷捥挷㠰扤改㌱愸ㅦ〱て㉣㐲㉢户攲㈱扢㡢攵㜲㈸慢愳戰戰〸㔵ㅤ昰敥㍣挹挹ㄶ挶摡ㄶ㔹戲㈵㔲㡤㐰ㄱ〲㝤㔰攲慤㜹戲挰晥㜲㝢㔷晣㜸㍥晢慣ㅦ㝢捥㤹㑦㠴㐲㐶㍦攸ㄴ㠴搴慢愰ㅡ㠸㠹攴搸㐸昵㈷㄰㈵㈰敡㙤㌰㌹㈳㜰㡤㕦敡㕤㐴㌹㠶ㄵ〴㑣㠸っ捤㍣㑤搰㘳愷愹摥㠳ㄶ㍢㑥㘳〰㡤扦㡦㄰晢愳㜴晢ㅣ〴㙥捦敤昳ㅦ搴挰㥦㌱㤸㐶㥣㠸晡㄰〱敤ち㠲摡㤵㉤㈰㘳っ愱攰㐷晥〲㐳㈹㌰㡣〲ㅦ㐳㠰ㄵㅦ搸ㄲ戱㍥ㅡ搰搲〹ㄳ晣〰摣ㅡ㌲〰昰㜳㤷搱〱攴搸〰づ愷搱㙤㘸昴㕢㌰扤〰㜲敦㥣つ攰〸㠸㙣挶愰愳㝥㠰愶攰户㉤㙤晦㠸㔸ㄶ㝥㈳挱敤ㄹ扦晦㐰㑤昰ㅢ㐵㈳㑥㐴㌱攴㠳摦㜶㤰㌱戶愷㈰摢愸㡦㐰ㄹ〵㜶愰〰㜷昵〹㝥㍢㈲㔶愲昱ぢ㤷慥㕥挹㠷㌱㥥㐳㐶㕣㔷挶㝦㜲愰ㄱ㡥㠱ㅣ㌰っ戸っ敦㑣㡥㡤攱㔸ㅡㅥ㐷挳㈵㄰昰㘲挸敤㜷㌶㠶攳㈱戲㌹ㄸづ㠴愶㘰㌸㠱戶戹㜹㉦ぢ挳㥤挰敤ㄹ㐳㙥昲挳て㑦挴搳〸〲昲挷㥤㝥㍥㄰㠵㈱㘳㔴㔲㤰扢〰㝤〴慡㈸㔰㑤〱㙥っㄴっ㙢㄰ㅢ愴㌱㜴㍤摡敥㠷㘳ㅤ㘴㠱攳㜰㤷㜱㙥ㄵ㜴㜰㡣搰㜸㍤㡤㜳㐳㥦ㄷ㐷敥攲戳㜱㥣〸㤱挱捥昳㕡㍤㥦挹摣昸㈷㈸敥㑣换㘳㄰换㐲㜱ㄲ戸㍤愳挸㥤㠲昸攱㠶㉡㡤㘸ㄴ戹㕤㔰㠳挴挱捡昱愳〱㌲㐶㈳〵㈷昸ぢ㑣愶挰ㄴち㜰㜷愱愰搸㠴搸づ㘹ㄴ昳㍦㥥捦㈷昳㝤ㅡ攸㌴愸〳搸㑡㔷㝥慥㕥㜲㍡昳㥢〱㔲扣㌳〴扡㤹㔴㘱昷㠳㙢昳㔷㝦搸っ㈴〰㜴ち昳ㅤ㤶㙤㝡㑢ち㍤㜷摦〴〸㠲戲㑢㙢㉢㤹〷戹㤴挶愵㉦戱戶捤㑤捡扡收ㅡ㤱㥢敥扥〸摢摥㈷搹扥㍣㜳㕤㤵昵㈴㈴㤷㘹㍥㘵晣㈵㕤户㈹㝢搷㡥㜳改愶捡昲敦㜱㜳攱捥㜹昷晦攱㉡㉦㌰ㄳ慤㈱戴㝡㈵戶愸换扢〳㤴㌱㡢㉤㠸㝤㉢扡扢搹㑣挴昵摦㉥㍤戶ㄶ搷敥㍦捥㕣㐲扣〶戴㜹晤㥣敤愵戳摡㍢㌱㠵ち㌹㌱㑣㤰晢㍢挱昹㕤愹慣㤴攸晡㐱㑥ち昶搵捦㙦挷㘵㑤㉣㥡㡣晦㐲收挴昰捤扥㝡㤳改敤捦扣戲㠶ㄱㅥ慥㤹㉣敥㤵散收㘰捤㙤㜶㥢戳㜹戲〴㤶晡ㄱ敥昴㥥捡㈰㘳㝣つ㡤搴㠲晤ㄲㅡ戹捤戱挰挲㍤ち扣㤸愷搵ㅡ㈴ち改愸捣晦㡣挴攴收㑥㕣㌲愷㜸㌱攴㠴攴㥣㌷ㄲぢ慤㔶㍣㕡扢搶挲戵㡢ㄳ㕡㄰㑢㘱慢㜰摡〰ㅦ㜰晢攵搴㄰㄰㈹㜲㙡㐹㐹㍤〵扡改敡戲㥤攰改昴㌳㙢ㄵ昵㤶㤰攳搳〶㜵昶㔹㍣慥㘸㈸搰〱攷㐶ち户㑦㜶㜳〹㡥㙥搷扤搳㤵㘷搲㈰扤〱摢敥散愴ㅦ敢慢㜹扣㑥敦挷㕢㉡挹ㄴ㥥〲攵㍢㔵㑡㜸敡戴攲㐲㈶挵搷ㄴ戴㙥攸㥦㤸搵ㅥ㙢敤㡡㕢㜲㍤慢扢㙦戹慣晤㐵搴㤷扣捦捣慥慢㙥㜰㜱㐰㤹㠵㤷㥡改愷〲㌱戹晢㤹昵㘴捣挱㤹㈶㘳㈷㙣㠴㡣㜹捥㜹搷㠰慡搹散㙤挵㈱搴搰挰捣愶㜸㜹搵ㄵ扡戶ㅣㄶ晢㌴敥つ㑤敦㑣㤶㌳捥㈵㌶愷〳㙦㈲挰㝤㌱ㄷ㙢㘶㡢捤晡㐵搴ㄳ晣戴㍢扥㐰〰㔷昵㍦ㄳ㜹ㅡ㐱慦㈷晦ㄵ㝣㝥㤸昳㝦〳挷ㄸ㡣㌲㙡㌲㙡挰㥥搸捤㐷㥤っ捤㝡㉢㐵收㔵㌷搰敡㔵挰扢㕡㠵㤹㕢㕢㡡扢㡤㘵㙥户〰㥡㡡摢㡥敤戹ㅤ㜶ㄲ戳戲ㄷ㠲㜴㍢户㌳ㄶ㐱㠲㘵攰ㄶ㘵晣戰㕥㑣㐳〸挸ㅦ昷㈴敢昹ㅤ㜸㤰㤴换昳㍤㘸㝢㑦ち㜲扦戲㡦挰㕥ㄴ㔸〲㔲捣㙤慢摥㑥㈸敦づ㕣㈸ㄴㄴ户昱㉡㍢搸挶扢つ㌸㠵〳㜸扡ㄱ㍢㡣㜱挷㈲搰㈷挸ㅤ扡挶摥㤰㝡敡挹㈷㈷戱㍣㙡慥㉢晦昹㤹〲敥挳晣昷〵㔱摣㡡捡㠹㌴ㅥ晡㤵㤱㝤㈹㤸昴㤷㝢㔰㙤捣昷〳㈷㠰㠷㤸搱㤷搰愴㐰散扡㝢愸戸㔱㔵㈰㕥㐶㝢摣戱㥡㌵㝤㕥〱㙥户㄰㑢ㄵ㉦㠵ㅡ㝥〵㐶㤴㐶㄰㤰㍦敥㕣昵㐱慦ㄹ㌲㐶㡣㠲换晤〵攲ㄴ戰㈸戰〲〲㌲㝤㑥㈰搶㔷㑦㥦㜹㈱攷㌷㐹㕥〵㈱㑣㤲戹摢㔵㘷㕢㑦㡥㕤慢㉤戴扡㍦慤戶㐱㠰ㄳ攵挰㙡挴㡡昸捡㈱㘵戴㔲搷㤹ㅥ戵㈱㑣㄰戹㜹㤵㔳㈴㝤㘴て散敤㡥㔴〷㈴㌸戸搳攷㥥〶ち挵㕤戰ㅣ㉣戰ㅡて昵㑣㙦㜵㠰㘳㡣ㅢ㘴搹㘳搹㐷晥㜳㡡㍢㘵敤晡㑤㐲㜳㥣㝥ㄲ㜱ㄳ㕥戲〴换戹攷ㄹ敦ち㑢㈳攸㠴㌵挵捤户晡㍣㈳㐴㐶ㄷ㐸户㡤挰㔸ぢ〹㐲挶㡤扡昸攱㐵㌹㌴㠴㠰晣㜱愷慥慥ㄱ㝡收搴挸㝡摡摥㐰㐱敥攲昵ㄱ㌸㤰〲〷㔱攰㈰〸昰㕣㌳づ㐶㉣㝤㝡ㅣ敡㔲摢㉡㘳昷㄰慡ㅤ㑡㌵㙥戳昵㕥㘷㜲㙦慤つ摤㘱㄰搹慣㥢㐶摣㤱㉢㌰ㅤ㑥攳摣㤸㤵㜵慥ㅣ〹㙥户㌰挹戹昲ㅢ愸攱㔷㘰ㅣ㐵㈳〸挸ㅦ昷昱㙡〴挰搷㄰晤ち㘱攳㘸ち㥥攴㉦㜰っ〵㡥愵〰户晤捡戹㜲ㅣ㘲改㥢㐶搳敡㉡晤㑥㤵㡤㤰挱愹挲慤扦㍡㔷搷昵攴昱㌴㝡〲㡤㜲㥢慥ㄷ挰昳挱戳〱晣つ㐴㌶ぢ挰ぢ愰㉡〰㥥㐸攳ㄷ㈲㤶〵攰挹攰昶っ㈰户〰攳㔷㘰㥣㐲㈳ㅡ㐰敥〳搶慥㠰愷〱㍣ㄵ㌲挶㘹ㄴ攴ㅥ㘱ㅦ㠱搳㈹㜰〶〵戸㙤㔸〰㍣ㄳ戱㜴㘷㔳㤶攷㤶搱敦㈰〴〴戹㜷㔸㕢㥤㥦挹昶㉣㕡㍤㥢㔶戹捦搷㡢㈰㌷昷摡〸晥ㅥ㈲㥢㜳换㠸㍢㠲〵挰㜳㘸㥢㕢㠳戳〰㍣て摣㥥〱攴ㄶ㘲晣ち㡣昳㘹〴〱昹攳㍥㘲敤〹㜸ㅡ挰ぢ㈰㘳㕣㐸挱㍢晣〵晥㐰㠱㡢㈸㜰㈷〴〴挰㡢ㄱ㑢户㐰扣㐹捣慦〵㕥ちㄹ攰㜷慦换愸慢〵㕥㐶愳㤷搳㈸户〹㝢昱攳摥㘰ㅢ扦㉢㈰戲㌹昸㜱㐳戱攰㜷㈵㙤㍦㠵㔸ㄶ㝥㔷㠳摢㌳㝥㑦㐳つ㍦散㌹愱ㄱ〴攴㡦摢㤰㝤昰扢〶㌲挶戵ㄴ攴ㄶ㘵ㅦ㠱敢㈸㜰㍤〵戸㙢㔹昰扢〱戱挱㝡戴㜳㕥㠶㌶㙤敡㠲戹㘳晣㠰扣〹挲〰㤲㕢㤸戵㜵搷愸㜷㌳慤摦㐲敢㙦㐰挰ぢ攴摦挱戳㠱晣ㄳ戳摣攴㝢㙥摣㤶㉣㌰摥㑡换摣㥦㥣〵攳敤攰昶っ㈳昷㌱攳㠷捤敢㌴愲㘱攴㘶㘶敤㠷敢㥥摢㥤㤰㌱敥愲㈰㌷㍡晢〸摣㑤㠱㝢㈸挰扤捦〲攳扤㠸愵敦戹㜵昳㈲愵㠹搵扥昷摣敥㠷㍡㠰攵搶㘸㥤摦㉥攴搸搳㠹〷㤸摦㠳捣㡦摢㤸扤挰㜲敦戲つ散㐳㄰ㄹ㘴扦〹慥攷㝢㤹摣敤㉣戸㍥㑣挳摣昶㥣㠵敢愳攰昶㡣敢昷㔰挳て㍢散㘹㐴攳晡〳㐲摡つ昰戴ㅢ㡦㐳挶㜸㠲㠲摣㍦敤㈳昰㈴〵㥥愲挰㑦㄰㄰㕣晦㡣㤸愹㥢愷㝥㙢㥤㕦搳㝣〶㠲㐰㤰㝢慢戵㘵㔷搳㝣㤶㤶㥦愳攵㍥㄰㤰〹搹昳㠸ㄵ换慢改㤴昱〲㤵㥤ㄹ搹㡢〸㜳㝡挱扤搲昹㘷㘴㉦㌹㔲晤㈰戵挹㌳㌲㙥扡戶㘷㘴㉦㐳㕤扣㤰敢挷㔷ㅣ㘳摣㡦扤㈹㌳㌲㙥捣戶㙢晣㔵㘸㙥㤵㜵㤵㤳昵敥㍤㜸㤵㍢〱攳㡥㙥愹昸扦㐲㔹㜱㙢户㕤昱〵〶㈱搹㠴ぢ㥤搷㥤攲㜲ㅢ㌸敢摣㜸㠳㠶〴㐱晣捦㝤攰扡〶挰搳㤵晦㈶㙤晦㥤㠲摣㈳敥㈳昰ㄶ〵摥愶〰㜷㡤换〴散ㅤ挴搲ㄳ㌰㙥っ搷㙡昳㌳㜶摦愵摡㝢㔴㉢㠳㠰昷摣攰捥㙤ㅢ愹昷㈱戲改㥤づ㌷㝢ぢ㐶ㅦ搰㌲㜷㝤㘷㥤ㅣㅦ㠲摢昳挹㌱づ㙡㠲捦㐷㌴愲昱攱ㄶ㜱敤〷㠲ㅡ㥦㡦㈱㘳㝣㐲挱〹晥〲㥦㔲攰㌳ち㜰㐷戹㥣ㅣ㥦㈳戶㐹㥤㡥晦㡤晥㉦愰㡥㔳㠶ㅢ捥㜵㠱㕣㉢㔱㕦㌲扦慦㤸ㅦ㌷㠷㝢㠱攵㡥㜰ㅢ搸㝦㐱㘴㜳㠶㐵㙥㈳ㄷ㘸扦愶㙤敥㈷捦㠲昶ㅢ㜰㝢㠶㜶㌲搴〴摡㙦㘹㐴㐳换捤攷摡ㄳ昰㌴戴摦㐱挶昸㥥㠲摣㤸敥㈳昰〳〵㝥愴〰昷慡ぢ戴㍦㈱戶㤵敥㜷㜲摦攳攸搷〳挹慤昷㤰攲昶㜵㥤㠷慢〷攲㑥〸〳㡢摤㜸愸㄰〲㕥㌸戹扦摣㠶戳ㄷ㐴㌶〷㑥㙥㑡ㄷ㌸昱㐶慥〲挵摤改㔹㜰〶挰敤ㄹ㑥敥㘲ㄷ㌸㝢搳㠸㠶㤳㕢搹戵㈷㉥㌸㠳㤰㌱昸愲㝦挵㙤敥㍥〲㈱ち昴愱〰㜷扥ぢ㥣㝤ㄱ换㕥ㅣ㡤昸㡥㠳晤㈱㠷㈶挹ㅤ昰摡戰㙢㔱慦㠴㠶㑤ㅡ收㙥㜵㉦㠶摣愲㙥㘳㌸〰㈲㥢㝥慥㜳㔷扢㈰㌸㤰㤶㔷㈳㤶㠵攰㘰㜰㝢㐶戰つ㙡㠲攰ㄶ㌴愲ㄱ攴㕥㜸敤〷㠲扡㐱づ㠱㡣㌱㤴㠲摣㈷敦㈳㌰㡣〲㕢㔲㠰㕢攷〵挱慤㄰㑢㥦敢㝣户㕢㥥㜷㙥攷戹㠴ㄸづ㜵〰换㥤昵㍡㍦搷ㄴ㜸ㅢ收㌷㠲昹㜱ㄷ扣ㄷ㔸㙥㝤户㠱摤ㄶ㈲㥢搳㌸戹㕦㕥愰㉤愵敤㈳㄰换㠲㜶ㄴ戸㍤㐳换つ昶〲敤㜶㌴愲愱攵㉥㝢敤〹㜸ㅡ摡敤㈱㘳㤴㔱昰㘸㝦㠱ㅤ㈸戰㈳〵戸㈹㕦愰ㅤ㡤㔸㝡㉢挹捣つ昱㈴摥ㄷ搶ㄲ挳㕢捣㔷慥戴㤲㜹ㄶ㐹挷㐲〷㜸㜲愳扥㉥㠵慢愱㡥㘳㈶攳㤹〹㌷搵㝢昱攴㑥㝡ㅢ捦〹㄰搹昴㠶捡捤昷㠲㘶㌹㉤㜳ㄷ㝥ㄶ㥡ㄵ攰昶㡣㈶㜷敢ぢ㥡㘱ㅡ搱㘸㜲换扥昶〳㐱㡤㘶㈵㘴㡣㉡ち㜲㍢扦㡦㐰㌵〵㙡㈸挰ㅤ晥㠲㘶㉤㘲晤㜴捦戹扡㉤㑦㝢㡣㐰ち昸㜱㥦扦㌶扢㑦㈶摦㝡㥡㥤㐸戳摣㤳敦挵敦㉡昰㙣晣㜶㠶挸愶攳挷扤晢㠲摦㉥戴晣㐷挴戲昰摢ㄵ摣㥥昱攳㘶㝦挱慦㠱㐶㌴㝥摣昱慦晤㐰㔰攳搷〸ㄹ㘳㌲〵昹㌴㠰㡦挰ㄴち㌴㔱㠰て〸〸㝥㔳ㄱ㜳攳攷㍦㜶㑦㠷ㄴ昰攳㘳〲摡㙣㈲㤳敦っ㥡㥤㐹戳摣搲敦挵敦㍥昰㙣晣㘶㐱㘴搳昱攳搶㝦挱㙦㌶㉤昳ㄹ㠰㉣晣收㠰摢㌳㝥て㐱㑤昰㥢㑢㈳ㅡ㍦㍥㌰愰晤㐰㔰攳㌷て㌲挶㝣ち昲㘱〲ㅦ㠱〵ㄴ搸㥤〲㝣扥㐰昰㕢㠸㤸ㅢ㍦晦ぢ慥挵㤰〲㝥㝣捡㐰㥢㕤㤶挹㜷て㥡摤㤳㘶昹㐴㠰ㄷ㍦㍥〶㘰攳户ㄷ㐴㌶敢愶ㄴㅦㅥ㄰〸㤷搰㌸㥦㈲挸㠲㜰ㅦ㜰㝢㠶㤰㑦ㅢ〸㠴晢搲㠸㠶㤰㡦ㅣ㘸㔷挰搳㄰㉥㠵㡣戱ㅦ〵昹㌸㠲㡦挰㌲ち㉣愷〰㥦㔰㄰〸㔷㈰㌶㔲㥦挲晥敦扥捤㜳㕡㌷㐳ㄳ戰昲搹〵㥤㤵㙢㑡ㄹ㘳㔶㜱㘶昵ㄱ〴扣戰㝥〲㥥つ慢〵㤱㑤㙦㤶㝣ㅥ㐱㌰㑤搰㌲ㅦ㑣挸挲㜴ㄵ戸㍤㘳捡〷ㄸ〴搳ㄶㅡ搱㤸昲㈹〶敤〷㠲ㅡ搳晤㈱㘳慣愶㈰㥦㜰昰ㄱ㘸愵㐰ㅢ〵昸搰㠳㘰摡㡥搸昶ㅡ搳扣㙦昱捤〳敢ㅡ㈸〳㔶㍥ㄱ愱㜳㜳㡤摥〷㌰户㈴㜳㉢攴ㅣㄶ愲㐶㈷㘳㡥ㄷ挵挵攰㝡昷㜵收散戹㤵ㅣㄲ摣㝤扢㈸戵愱ㄵ㍢㥥ㄹ攴㍥㑦㍢挴㌵㈴㙣扣〰て扢㑦㍢㤲㔸㜳㉤昲扥ぢ㈹慤晢㈴㌲敥㌳搸昳㥥㔷㔱㘳㑡㉦㤴愶昸㠴敦㜳摦㘵㥡搶㘷挱㌳㉦㝤愴づ㡦㐰ㄷ㡡㌸㜸㙥㑢㉣搹搱搹㤱㐸㤵㉥挲搷㐶㑡昹摥㕣昴㝢ㄵ㤳㡢㌷挲愲㙦㥥㜴慣愸㥤摦づ㕡换昷㐸㠶㔶户㜷慣㙢㤷搲ㄴ㜷昲昵挱㠲㔷敦摥捣㠶㑢戱㜲㙣〷昰捣〰ち㑡㘵㘳ㅤ㘸扦㕥㘶㙦挴㜹㤸㐱ㅤ㌰㜴㈰攴〴㡡晢㈱戰愹㝢㔹㘹㕢㌵慢ㄸㄶ㤱慣愲摥扤㜳㌶敢攴散㠱㑤扦攵㌳㄰攰ㄶ搸攲攳攰戲㜷㠷㡦扦㔲㌶愲㔴ㄶ挷㌶㠰ㅡ〷㠲㠴捣晥㈸㌸㥤〸ㅣ㠴攸㠰愶㈹换戳扦挲ㄴ㌸ㄸ散扥㘰换愲昳㐲扣摣㌷㜰〸㌸晤挱㜱敤昹㌷㑢ㅣ㉢挶愱㐸㌴㐶挱㥥㌱ㄲ㐴つ〰㕦㜰㍥〲㝣〶㤸㤵ㅡ〴捡戶愹づ㠵㈳㙣ㄱ㘰ㄶ〴㡥㠲㐸摥㙡㔶〷㐳㡣㔵㥤㕤㔵㠳㘱〵㙡㔸扥〰㐵㔵㙤㐱晢㌸捣㈱㍡㌰㔴〷㠶㌹〱戵㌵〲慣㉥㜵㈰捣ㄱ㑡㥣㕣㔸摥㠰〱攳㌸㤰㤰㌹ㅣ㠹ㄴづ晣ㅡ㔱ㅦ㐸㌶㠲㥤つ挹昱攰㜸㈱搹挶戱㘲㥣㠰㐴昹愴㤱㝣摣㐸㙤换慣㤹攳㐹攰㌳㈰㝦㈳挱ㄵ㐸搶愰㐰㘹㐸㑥㠱㐸㝥㐸摡㈱㥡ぢ挹㈸㔸㠲ㅡㄶ㈴㐰〱挹㜶㠸昳㌰户搷㠱㌲ㅤ搸挱〹愸㌱〸〸㈴慤づ㈴㘲攰っ㔰攳㑣㤰㤰㌹ㄶ〲ㄴ㌶搸㑡っ戶〹㠳捤挰ㅣ愷昹㘷㤳㔵㐱㠹㥤㐰搴〴昰挵挹㜳挱㑦㍢戹ㄳ戸攲㘴戳摢挹昳㈱㤲摦挹ㄵ扥㑥㔶挰ㄲ搴戰㘸〰ち㈷挳㠸昳㌰㉢㜵愰㑡〷慡㥤㠰慡㐳㐰㥣㕣收㜶昲㈲ㄸ㌰㉥〶〹㤹ㄱ〸㔰㌸㜰〹愲㍥昵㝥㈹搸搹昵㝥ㄹ㌸摥㝡慦㜷慣ㄸ㤷㈳㔱㍥搸㘴搴挲愸摡ㄹ㝣㠱攴㉡昰搳㤰㑣〲㔷㈰㔹散㠶攴㡦㄰挹て挹㐲㕦㐸㜶㠵㈵愸㘱ㅤ〰ㄴ㤰㌴㈰捥㤶ㅤ戸づ昱戲愶㈹㑤ぢ㤷㐷㙡愲㤵搱㐸㜵㉣ㄶ慥㙡慥慥㠹㠷愳ㄵ昱㐸㑤㉣㕡㥢㠸㠴㈳㤱收㜰㐵攰晡戴愸㘵㐵㈳捤㘰搵搶搵㔷㔷搷搴㕢捤昵㤵㤵昸㄰㔹〲摦挸慢慥愸戵敡捣㐶挷扣㜱〳㜴㡣ㅢ㐱捣挹㥡㜵ㄳ㔹㌷㤳㌵㐵戳㈸㈰愲㙡ㅡ㔸㔲つ㌳㥤㙡㄰㔰㙥㘳晡敤㈰㈱㜳㍡〴昰㉢〸摣㠱愸㑦㌵摣〹㜶㜶㌵摣〵㡥户ㅡ㘶㌸㔶㡣扢㤱㈸㕦慤㤲敦㔷ㄵ捦〲摦摢㜷扡㥥〸㜲敤㡥攴ㄳㅥ愶㙢换慡昴挲〳ㄲ扢㜷㐵昹㙥慤昹搸㉣㤵㈲敢㤷戰挵愶挸摥戲搶攳〰㈴㉥散扢ㅦ挷〱㉦〶搹攳㠷攳㥢扣㕡晡攷㙤搸〹ㄵ㌷愰㝥㌷㉤ㄷ戶㠰捣戸捦搲戱晥㐳挶晤愸㍡摥㤱㥦㡤愸戴㤲〷挰搰㠷摡捤㡦㕢㍣〷摣㑤摦つ㐶慢㠳㌲㡦搵昰〱慡㜱慤搸ㄸ户〹捦慢㍤㠸戲愸㜹㝥㘵㔰ぢ㌴昷㘱挸挸㌹㠸㙣搴㐲㜰攵㔴慦㜷㥦敡㡦㐲㈴晦愹㕥攷㜷慡慢㐵摡晥攳㔰づ挰㌶晦捣挵攰㈲㡥㤵ㄶ㔰㜴〰㝢㈰捥挳摣㔳〷昶搲㠱㈵㑥愰㘴㙦〴㌸愲搲挰㝦昵㌰昷㠱㘵收ㄲ㜸ㄲ愵昱㌹㡢㥦〲㍢晢㉣晥㌳㌸摥戳㜸㕦挷㡡昱㌴ㄲ㡤愹戰㘷㌴㠱愸愵攰㑢㡢㜸づ㝣〶攴㙦㤹收㍥敦收慥〰㔷㜰ㅦ敦挲摤攰搰捡昹愳ㅡ敢〷戱ㄹ㠵ㄲ㈵㡣㤷㐱〱㘶㌳攲㍣捣㤸づ挴㜵挰㜲〲㙡ㄵ〲搲戳㡤㠶㐹㑥㉣挴挰㉢愰挶慢㈰㈱戳〵〲ㄴ昶㡥愲晢㙢晥敢㤴摤㡤ㄲ戳㐱㔴㉢昸散慦㐲㙡㕢㔸攳昹㐴敤㤰昱ㄶ慤攱扣㘸㐳㔴㔰㜸ㅢっ㝤愸㜶㕦㙥〷戸㍣㌷㡣㜷㈰慢づ昰㤵改搴摣昷㈰挳㜶换㉥㔰㜵㠱㉢昸㙤㠹〲愴愷㈶ㅦ㐰㈴㝦扢ㅤち搱㥣愹㠹㕡慢敤㝦〸攵㜴扢㕤〷㉥攲㜸㙤㌸㈸愰㕥㡦㌸て㜳㠳づㅣ愸〳〷㌹㠱㤲㠳ㄱ昸摦戴摢㐳㘰㤹戹〴㍥㐶㘹㝣摡敤㈷㘰㘷户摢㑦挱昱戶摢㐳ㅤ㉢挶㘷㐸㤴て搵ㄹぢ㘰㔴ㅤづ扥搴搸ㄷ攰㌳挰慣搴㤱愰㠲㜰㍦㌷挲㕦㐱㈴㍦挲㝤晣㄰㌶㡦㠲㈵愸ㄵㄸ㕦㠳〲换㕦㈱捥㉣〲晦㐶摣㥥〴㐴㙢㥡愳㠹敡㜰㝤㈲㔱㤱愸慥慤慦㡤㠶㉢ㄳㄱ㡣昲㤵捤㔵㤱㜰㝤戸㉡昰㑤㕡㌴ㅣ慦慥愸愸慢愹㑦㔴攲慢戸戱扡㘸㌴㙡㔵㔴㔵㔴搷㈶愲㤵㌵㔵昱捡㜰攰摢戴㘸㜳㘵㌳㍥㜹㔷㔷ㄱ㠹挴敡慡㈳昱㐴戴扡㌶㘶搵㈶㉡愳ㄵ搵昱㐴㘵㕤挴㍣摡㈹㠹昱ㅤ㜴㡣敦㐹㝥〰㌱㡦搱晣ㅦ挹晡㠹㠴攷㡤㜹慣收㘷换慢㡤攰换㐹昶攳㜷慥搹㝢㔱㌱昴㡡㐱㐲收昱㡥㘲㈰㠰愸㑦〵昶〶㍢扢〲㠳攰㜸㉢昰〴㥤㍤扦㘹㉣ㅦ昰㤳㑦昹愹ㄳ挱㤷ち散ぢ㍥〳昲㜷㌲戸㔲㠱㕦愲㔰改㔳愴㍦㐴昲㔷攰㍦㈱㥡㜳㡡㤸愷挰ㄲ摣挷㙡〷㤴㔱㠱愷㈲捥挳㍣㑤〷㑥搷㠱㌳㥣㠰晡ㅤ〲〲挹㘷㙥㐸〶戲攰㠳㐰㐲收㔹㄰愰㜰㘰㌰愲㍥㤰㙣〱㜶㌶㈴㐳挰昱㐲㜲戶㘳挵ㄸ㡡㐴昹愴愰㝣㕣㔰㥤〳扥㐰戲ㄵ昸㘹㐸捥〳㔷㈰㜹搷つ挹㜰㠸攴㠷攴㙤㕦㐸捥㠷㈵㠱㘴〴㤴〱挹〵㠸昳㌰㉦搴㠱㍦攸挰㐵㑥㐰㕤㡡㠰㐰昲㜷〷ㄲ㌱㔰捡㠲㡦〴〹㤹㤷㐱㠰挲摥慥昸㜲捤㉦愳㙣㠲ㄲㄶ㠸扡ㄲ㝣㜱㜲㌴昸㘹㈷慦〶㔷㥣㝣搹攵愴㐱㈷㘵㘸㜹搱搷㥦㍦㐲㐹㡡㌳ㅥ㜲昰攷ㅡ挴㜹㤸搷敡挰㜵㍡㜰扤ㄳ㔰㌷㈱㈰晥㍣敦昶愷ㅣ〶㡣㥤㐰㐲收捤㄰愰戰搷㥦㕢㌴扦㡡戲㙤㤴㘸〵㔱户㠲㉦晥搴㠲㥦昶攷㜶㜰挵㥦挷摣晥昰㙡㐴晣㜹挴搷㥦㍢愰㈴晥㑣㠴㈹昸㜳㈷攲㌲改搹ㄹ㜱愷捦㐹㠴㥢ㄳ㜵搵㠹摡摡㥡扡敡㜰㔵㐵㌴ㄲ慦㑡㐴挳搱㔸㘵愴㌲㔶㔹ㄳぢ散㤲ㄶ㡤㐴攳戱ㅡ㜴㐶捤戵戵㠹敡㈸慥㍢慡㥡慢慡㉢攳㤱㡡慡㜰㜳㥤ㄵ慢㌳敦㜲捣ㅢ㤳愰㘳散ち㘲摥慤㔹つ㘴㌵㤲㜵㡦㘶愵愵搴晤㘰〹㠶㜷㌹ㄸ㡡晦㔳愹㌲つ㈴㘴㍥〰〱晣戰㔷〸敥ㄸ扣捣㌰㜸㘵㘱㍥愸昹戳㈸㥢愲〴摦慦愸ㅥ〶㕦㙣捣〱㍦㡤攱愳攰ち㠶㌷扡㌱㑣户㠹敢㝤㌱㝣っ㑡㠲攱〲㤸〲㠶㡦㈳捥挳㝣㐲〷㥥搴㠱愷㥣㠰㝡〶〱昱攷㕡挷ㅦ㈶ㄸぢ㔹挶㐵㈰㈱昳㔹㌰㠴攷戹㘸㝦㑥昳昷愲散㐱搴㍡㄰㐴扤〰扥㍤摤戸ㄴㄶ㌳搳㡤㝤㘹つ搳㡤ㄷ㤱㉥晥㉥〵㈳敤敦㑢㥡㥢㌵㌹㝦ㄹ㕣㤹㙥㉣愳散㉢扥㌲㝦搵摣ㄵ㤰㐹㑦㤳㕦搷摣㈸戸改㐹挲ㅢ攰ち㐰捤攰〲愰㌷ㄱ攷㘱晥㕤〷摥搲㠱户㥤㐰挹㍢〸晣㙦㈶〹敦挲㌲㜳㌱㌸戹㌵㌸㤵㌵㌸㝢㌵摦搳晣〴㑡㘹ㅣ㐱㠹挳㐱搴〷攰ぢ㜲㉤攰愷㤱晢㄰㕣㘹㈹㘷扡㕢㑡晡㙣㍢摤户愵㝣〴㈵〱愲捤〶攲㘳挴〵扢㜶挴敤戳慤㈲㔲㕦摤ㅣ㠹㌷搷搴挶㘲搵㜵昱敡收ち㝣搱扥扡愶戲愲㈶㕡㕦㔳㔹ㅦ〹㜴愴㐵愳㌵㤱晡㘸㜵㍣ㄲ慤戴㉡慡㘳昱㜸㈴㔶㕦㕦㕢㙦搵㠷敢慣晡晡㡡收㤸昹㠹㘳摥㔸〳ㅤ攳〰㄰昳㔳捤捡㥣㙤㥦㘹ㄶ〵㐴㔴㝤〱㤶戴捥㡤㑥敢ㄴ晦搷㌱㝤㍤㐸挸晣ㄲ〲昸攵㥣㙤㕦㘹晥挱㤴攵ぢㄶ㡤㘳㠹攱搷攰㡢㡤挳挰㑦㘳昸つ戸㠲攱攱㙥っ搳㘷摢愱扥ㄸ㝥ぢ㈵挱昰㈸㤸㐲㘳晡づ㜱ㅥ收昷㍡昰㠳づ晣攸〴攴昹㑡昱攷㘰挷ㅦ㌱㜰㌴换㜸っ㐸挸攴㍥てち㝢㝢攰㐲捤摦㐸搹㤳㈸挱户㉦昲㍢昶戶㍦扦〱㍦敤㑦〰㕣昱㈷改敢捦ㅡ㕦㝦㝡㐳〹㍦㙣㔶㠶㈹昸ㄳ㘴〴㠷挹捤ㅡㄲ〸改㐰ㅦ㈷愰晡㈳㈰晥戴扢晤㌹㡤㘵㍣ㅤ㈴㘴㤶㐰挰捦ㅦ㔳昳㝦㐷搹㌳㘱摥攰换ㄴ搵㐰昰愵㝥㝥て㝥摡㥦挱攰㡡㍦㜱户㍦改㌶摥散敢捦ㄶ㔰挲て㝢㠷㘱ち晥っ㐱㐴摡昸〵㠸摢㙤扣戹㉥㔶ㅢ㡥㐶㉡ㄳ昵㔵ㄸ㈶攲㘱㡣ㄷ捤〹㉢ㅡ慥㡢挷敡㈲ㄵ戵昵㠱ぢ搳愲㔱㝣愵戰㉡ㄱ㡥愰㠵攳㕣愸㑥㐴㌰㥢㡤搷搴㔸㌸㉢愲昱摡慡㕡㜳愸㘳摥昸〳㜴㡣㡢㐰㑣敥挳㘰㡥㐶收㔶搶㤶㥡㤵㤶㔲挳挱ㄲっ㤷㌸ㄸ㡡晦㔷搰捡㤵㈰㈱㜳ㅢ〸〸㠶㥥ㄱ㘵㠴收㕦㐳搹㜳㤹ㄱ摦挷愸㑡挱ㄷㅢ搷㠳㥦挶㜰ㄴ戸㠲攱㍣㌷㠶改㌶㍥挷ㄷ挳敤愰㠴ㅦ敥挳挱ㄴ㌰摣㥥ㄱㅣ㈶昷㐸㐸㘰〷ㅤ搸搱〹愸戱〸㠸㍦戳ㅤ㝦㤸㘰晣㠹㘵扣ㄵ㈴㘴㡥〳挳慦㑤㡣搷晣㍢㈹㝢㌱戵㉥〲㔱攵攰㡢㍦昷㠰㥦昶愷〲㕣昱愷搱攵㑦攰㍥㠸攴㥦ㅡ敥敡敢㘴ㄸ㤶昰挳㝢改愰っ㈷㉢ㄱ㤱㠶昲㈰攲㜶㐳㠹㔴㔴愲捥敢㙢㉡慡慡搱ㄹ搶㔶㌴搷㠴㜱㜱ㄲ㠹㔸戱㥡㐴戴愲搲ち㍣㤴ㄶつ㠷搱㠸㈰ㄳ愹戳慣敡㔸㌸㠲换愴㈸㘶ㅥ戵㔵昵㠹摡㡡㥡慡㙡戳捡㌱㙦㍣っㅤ攳ㄱ㄰戳㕡戳ㅥ㈵敢㌱戲㙡㌴㡢〲㈲慡戸改㐱㠰慤㜶㠰ㄵ㔰㥥㘲晡㥦㐱㐲㘶㍤〴〸㙣攰㘹㐴㝤㘶攸捦㠰㥤㍤㐳㝦ㄶㅣ敦っ㝤愲㘳挵㜸づ㠹昲㜵㔹昹捥慣摡〵㝣挹昱㐵昰搳搵戰㉢戸㔲つ㘳摤搵昰㌲㐴昲㔷挳㘸摦㙡㘸㠰㈵晣昰㜶㍣㈸愳ㅡㅡㄱ㤱㙡㜸ㄵ㜱扢ㅡ敡敢㉡敡㉢攳㔱摣㝤戶㜰㔱ㄹ㙤㡥㔶㈴敡敡敢㙡㄰㡣挵慤㜰挲ち晣㌵㉤ㅡ慢㠸㌴㈷慡慢㥡挳㤱㐴㜵㌵愶㠱昵ㄵ㌸㥦㜹ち㕢㔶ㅣ愷㝢搴攴扥ち㌹㌹㕦㠳㡥昱㌷㄰㜳㡡㘶扤㑥搶ㅢ㘴㌵㘹㔶㕡㑡㑤〷㑢慡㘱㠴扢ㅡ摥愶捡㍢㈰㈱㜳〶〴愴ㅡ摥㐵搴愷ㅡ摥〳㍢扢ㅡ摥〷挷㕢つ㌳ㅤ㉢挶〷㐸㤴捦散ㅡ搷昳㙣㤸つ扥㔴挳㐷攰愷慢㘱づ戸㔲つ㠳㕤搵㘰戰ㅡ㘴捥㍤搰ㄷ昱戹㔰挲て晢㐲㈱〷挴攷㈱㈲㠸㝦㡥戸㌳ぢ戰慡慢攲㤱㐸㝤㑤㌸㔶㔵㕤㔳㕤ㄵ㐹㐴㥡慢㙡㉢愳㜵戵昱㘸慤㘵㔵〵晥㤹ㄱ㡤㐶愲㜵㤸㤲㔷㠴㘳搱敡㥡㔸㙤㌴㥥㐸搴挴昰敤昶㕡㑣〳敡攲ㄵ收㝣挷扣昱〵㜴㡣㉦㐱捣〵㥡昵ㄵ㔹晦㈲㙢㜷捤愲㠰㠸慡挵㘰〹攲㐱㌷攲摦㌲晤㍢㤰㤰戹〷〴愴㐷㈱攲〶昱㌵〸愹挹㍤ㄸ挲晦㠹慣摢攸㉡摦㔶愹㘴晢〴㘳ち㔳挳㌴㠶晢㐰㕡㌰晣改㕢搷昵㜷㉦㠸攴㙦捡㍦㐰㌴昷晡㝢㕦㔸挲て㌷ㄳ愰っ㘰㤷㌲㠲挳摣㑦〷㤶改挰㜲㈷愰㥡ㄱ㄰㈷扦㠳挹昴㠲㘲㙦ㄸ㌰㠲㈰㈱㌳〶〱㜱挶㌳っ挴㌵扦㉦㘵敦㐵㌶昲晤㘱㤵〰㕦ㅡ㑡〹昸㘹㈷㔷㠱㉢㑥㝥敥㜶㜲〰㐴昲㍢昹愹慦㤳摣敡㠰ㅦ㙥て㐰ㄹ㑥敥㡦㠸戴㥥挱㠸㍢攷㙢㈲ㄱ㡢挶㥡挳搵昵戸㙥挳㐷㝥㈳昵㔵㌵㥣㈹搶搵㌵㕢搱晡㘸㘵㘰㡢戴㘸㕤㑤愴ち户㤴慣㜸慣㉡㔶㕤ㅢ慥慤て搷㔴搷㔵挴㙡搱㤱㈶㉡㈲搵捤收㙡挷扣㌱〴㍡挶㔰㄰戳㔵戳㠶㤱戵㈵㔹㙤㥡㤵㤶㔲㙢挰ㄲ㘰摦㜱㠰ㄵ㔰戶愱捡〸㤰㤰㜹〰〴晣㠰㑤㙡晥㈸捡㍥㐲㔷ㅦ〶㌱㍢挱挷てㅢ〵挱敦搷慢㤸ぢ晣㍢攷㝦㔵㠶㙢㠵㝢ㅣㅥ㈳捦晡扡敥㌴㝣㉤㜷〳㐱敢㠵搷㜹搹㉦挱㉡㉡㥣昸昳㙣㜱㔹㠶㉦て攰㕦昱慢昰昵晦㘰㠷㄰㘵搶㔲㘸㜱㕢晣ㄹ㍢挲攱㤲つ㜰ㄷ愷㤳昷㙥晦攷㜸㡡㕡㡥㐶晢扦挱捥晦挳ㅡ㑢づ昴㙡㜸㕦敡晥搳ぢ敢晦戱㐳昸捤㠶搸愷晢㑣搹昵㠳㉢ㅡ搴愱搰㈸㠳ㅤ敦户ㄹ㕦㠴㕢慦攲㠵㐸㌹ㅦ愷㝣挱㐹昰㝥㥣搲攴㤶〱晣昰㕡㜵愹㉣挵㈵㝥㔶㤸㝡㡥ㅡ昸ㄳ挷㜶愲㘳挷㠲㡤晦㝢㜲㉣攸㌸㘶㍡晦て㙥㉣㌹㑥㙢敥愷㐶㥥㍡戹昸捤挳扣づ扥㝣搱㥡㐹愱㝦敦摥昸敥㌳愳晥晡敤㤰昶挶慢㠷敦ㄳ摦昹愹〳ㅡ搵〹搰昴㜳昴愹㝣㡥㍥改㈴㜸㍦㐲㘹㥥〴㑢昸㘱㍦愵敤攸㘹㠸㠸愳㡦扢ㅤ慤愳愳㘷㈰㘹昳㙡㤰敢昷㔹ㅡ㕥〷昱㥣挵㤳㑦昶摤戳昱㘲昸昹昲㐵㈳ㅢ搵搹搰昰㜳散愱㝣㡥㍤攸㈴㜸㍦㉥㘹㥥ぢ㑢昸攱昳㕦戶㘳㕣慣ㄷ挷敥㜷㍢搶㐰挷㉥㐲㔲㔶㌱愱㠶愳㥢愶㜹戱㔷挳敢搸攰㙢㘶晣晤挰挱㕦㌷㌴ㅤ摦晡晥昷㔷摣搷愰㉥㠷㠶㥦㘳㜷攵㜳散㑥㈷挱晢搱㐸昳㉡㔸挲て㌷㡥㙣挷慥㐵㐴ㅣ扢摤敤搸っ㈴ㄶ摦㠰㈴摦㔷㐳搸晢㙣ㄶ攱摤㠱㔶㜹搳㤴扡昲㘹敢㘳㔶㉢㕦挳㠱㑤㌶㔰㉣搸愲㙤㔶㈷㠲昸㝥搹攲㡥挹昲㜲〸㙥捡ㅡ愰昷攱㡣搳ㅦ㕡㉥换㜰昴㥢㔷戴摡晣㘴㕡てㅦ㉥挶ㅥ㈸㈴㡣攳㘷㤹户挸挴㕣㉦敥摢㍡挳挵ぢ㜷昰ㅡ㄰㉢慥㉤㜶攲㠵㘸㐵㠵扤㜲㍥〴㈶㉢攷㔳㍢摡昰㔹挷㜲扥愹㡦搶昰ㄱ昱㔹㜱㥥㥢㕢晢扣戶㜰㑡㑢㑡㕥晢㌹ㅣ改捡戸づ攰〴㘶挱㕢㘳㔲㑤挵搸㜰㜹㙤㐵㝤昱㉤㠰搰晢戶㠳扣搹㘴昷㜶捣㤴㕤㌲㕥㠸〳㥢敡㐶㔸㈷晣捡戸㥥昹捣㤵㝣㙡㥤㝣搴つ挸㠷㜹㈱〹ち昳愹挰㡢㍤捤㔲㌷㍢ㄱㅡ㉣戹つ㤱㑤㘸㥥㤹づ愶攴㜶慤㤱慦㘳㤱昳㙥昸攲挶晢晦㌵㝡改㐹愳㤶㌴慡扢愱攱搷㍣晦挸㌶攵搷㜳㕥敤㈴㜸㍦改愹敥㠷㈵ㄹ㉡昷㠰㔷ㅣㅦ昹㘷㍥〰㉥て昵愰㑥搶ㅣ扥摡搱㝣ㄸ㕣㑡ㄸ㝢ㄱ愷㈵㈰晤ち捤挷挱〹㤲戹㌷㤹晢㤰散㑢戲㤴㘴㍦㤲㘵㈰晤ち搵ㄳ㄰㤴㌳攰㐲ㄶち㝦搲㌹慦㐰愲㝡ㅡ㐹ㄹ扦㌲㥦敤㌸㈷㥦㕦扦㜷ㄲ扣ㅦ㐷㌳㥦㠳㈵晣㜰㕦㥥㤹昶㌲㥦搷昱㤵ㄲ㔷㉦㈳㉥㠵昸㥤扢㄰㉤㐸㉣㜹〵㐹㥢㔰㠱慥愱敦㔵慦㠶户㝦愹㤲㈳摣㜸昴㐷扢摦㍡攲攸敦ㅢ搴敢搰挸㌸晡〶ぢ晡㈶㠸㍡㉤㥦愳愷㍡〹㌹摦㌷㝢ぢ㤶愴〲㍢㔰昶㜴〵扥つ㉥て昵㡥㑥搶ㅣ㝡㘶扥〷㉥㈵㡣〳愰㘴㈴〹㐹愱昹㈱㌸㔲㠱㥤㘴愶㐸扡㐸搶㤲慣㈳㔹て㠲ち晣〸㠲㠲摤戱㙥散づ㐴愲晡っ㐹ㄹ扦㌲ㄵ㜸㘴㍥扦㡥㜰ㄲ扣㥦㈶㌳扦㠰㈵晣㜰㔷㤴㤹昶㔲㕣愵㤴㑣て㜳㘷㝡㈴㌳晤づ㐹昶挹晢㙦㠴〲扦〲慦敦愴㡡昲摡㥡戱攱㐸㝤㘵㜹㥤㍡〸㉡晡㘴つㄹ挷㔰攷晢戴づ搷㌰〳挷戹㜴㙡挲搵攵㤵㙡㥤愳㐳㐸㐳挶㐶敡晣㤰搶昹㤶㍡㈷戸㜴挲㔵㌵攵戵慡搳搱戱㍢㤶ㄳ愹昳㈳㈴㜵搶敡㈷㈷㐲㥢㡡扤〹㔳愴搳攰愲㈴挴㝦挶慣愴㔸㙢收敢㍣愴捤つ㌸搶ㅥ戴敦㍢戱昱㘳㌴挱攲晡搳ㅡ㤵〱捤㑣㕤㘵摡㘰㍢ち攵摢㠹戴㌹〹摥慦愸㤹㕣攰㠴㌷戸ㅤ〸ㅦ㔰㔷㈶攲㔲㔷慢愹㠱㍦㌹挳捦㐴㘲〹㤷ㅡ㝦㥥愳㠳戴㘶㍥㐷㔱〰ㅣ㝡挲㌶扣㔱愲㠷捦㘸㔴㐳愱㔹㠶㤸㜷㥥㤹挸攷愸攵㈴㜸扦㤶㘶㜲搹㔲ㅣ㍤挷㜶㜴〴攲攲㘸捣敤攸㜹㜴戴ㄴ㐹昸昵㔴愳慥㕥㘴愴㔷挳摢㡢昴㥦㜰挳戹㥦㕤昶㘱挳㈵㜷摤㌷㜴㠷㐵㌷㌷愸㌲㘸㤴昹㌸戶㉣㥦㘳晢㌹〹摥慦愰㤹㕣慡ㄴ挷㉥戶ㅤ攳㝡愳㌸戶慦摢戱㑢改ㄸ㔷ㄲ昱摢っ挷戸散㤸愵攱㜵㙣㈶㈶㕦搷捣㈸㙥扣㘰慢㥤晥戶㝤攰搹〶㔵〵昱㌲ㅦ挷昶捣攷搸ㅥ㑥㠲昷敢㘶㈶搷㉣挵戱慢㙤挷戸昰㈸㡥㉤㜲㍢㜶つㄲㄵ㤷晦散㙥㠴慢㤱㠱敢挰ぢ㑤慡搵㤳つ㌵ㅦち晡㑣づㄹ㌷㔰㘳搷戴挶㉥搴戸㐹㌴㙡㉡昴戴㘱㌷㐷挳敥づ㙥愱㐶〳攴戴ㄱ搵攸㐴愴〷攰攲㈲㝥㍤挱敡㥡㌶㑣搳ㅡ摤㥥㄰摢晦扡㔱摥〲戴搷挹㡤㙡ㄶ㌴捡㝣㘰㥤敥愰㤷㜳挱㌵捤㐹昰㝥㌳捤攴㌲愶挰㝡㈷扣挲ㄹ扦〰㜱㠱戵㠹ㅡ昸㤳㌳晥㙥㈴㤶㜰㤵ㄱ扦捤㜰㙣㤱搶挸攷㔸㔰慥慣摥㙦㠰㔵ㅣ搷㌵愸扤愰㔱㠶愰昷っ摦㌵㥦㘳㤳㥣㠴㥣㙦愱㜱〱㔳㠶搳〷㔱昶昴㜰扡ㄴ㕣㜱昷㈱摢摤㘵㕡㉡㙢㕡戴㐲㑢㍤〲㈹攳㔱㡡ㄶ㥡㔱㌰㘵㔴㝤㡣捣挷㐹㥥㈰㜹㤲攴㈹㤲㍦㠳㘰㔴攵㙡愵㐰ㄸ㜶㐳昸っㄲ㔵〲㐹㘵㘹昷㌲愳敡昸㝣敥㡤㜳ㄲ扣㕦㌳㌳㕢㘰㐹ㅣ㜹㠹㤹昶㔲㕣ㄹ㤴㑣挷戸㌳晤ぢ㌳㕤㠳㈴晢㜴攰㜲㘱攰㔵昰㐲㤸㝡敢挶㕤〶〵㍤㝣㠵㡣搷愸㜱㐰㕡㠳慢㠶㠱搷㐵㈳㜳〲㡤㜴㌴㤸㝦挸㜸ㄳ愹㈵敢㈰㠷摦㘶戴つ㉥〸㡡㐶扥戶〱㙢㜸㠸挶搵攸て㠶㜸ㄹ㜸摥戶㌱摣挱㈸愷搱㙦敤㈴㜸扦㠴㘶ㅥ〶㑢〲摥㝢㈸㍢挰攳㤲愰㠰户㈵㌵昰㈷㡤晥〳㍡㜶㌴㤲昰敢挹㌱㔷敦㝦㡣㔷挳摢㐹㑡㥢㝦攳攵㠶捦㠷捣㕣昰挳戰㡢ㅡㄴㄷ〹换㝣ㅣㅢ㥣捦戱㐱㑥㠲昷ぢ㘷㈶㤷ㄵ挵戱㑦㙤挷㑥㐱㕣ㅣㅢ攰㜶散㜳㍡㜶ㅡ㤲昰摢っ挷戸㐴㤸愵攱㜵㑣慥扤换㑢ㅢ敤㐹昲㤷つ㡡慢㠵㘵㍥㡥昵捤攷㔸ㅦ㈷挱晢攵㌲㤳敢㡢攲搸搷戶㘳攷㈳㉥㡥ㄹ㙥挷扥㐱愲攲㔲㥤摤摣㉦㐰㈸昰ㅤ㜸挶愴昴ㄵ㘰㌱攴㜵扦ㅤ㌲㝥愰〲ㄷ晦㙣㠵ぢ愹昰㤳㈸愴㐷ぢ攵㈸搸㝤㍦㜷㐷㤶㕣〱㌱晣㝡㠲捥搵挳㜳㘵㔰㌴昲㌵昶㥣ぢ㐳㉥ㄲ㤶昹㐰昷挳㌷㜹收㜴摦㍢〹摥㙦㥥㤹搷挳㤲㐰ㄷ㐰搹搱搸戹㌶㈸搰㝤㑢つ㜸㈷㡤㍤㐸挷晥㠴㈴晣㝡㜲捣搵搸戹㐴㤸愵攱㙤ㄳ㕦攳㐲昷晥㝦扤搹戰㜱昲ち摣㑤扢慡㐱摤〹昱㌲ㅦ挷扥捡攷搸㤷㑥㠲昷㕢㘶收㍤戰㈴㡥昵户ㅤ攳㝡愰㌸昶㑦户㘳㈶ㄲ搵挳㐸戲慢㤸㡢㠴㠱㠱攰ㄹ㤳慡㜱㔹挱扢て敡ㄳ挸㘷㝡挰挱㔴攰㌲㥥慤昰㄰ㄵ㠶㠰ㄷ㥡ㄴ慥搴㝤收㍦ㅣつ㘶ㅦ㌲㠶㔱㠳㙢㠱扡㘱愹挷㥣㠸㑣〸戸攴㠷㕦㑦愸扡㥡ぢ搷〷㐵㈳㕦㜳㔹㠸㡢捦㡦戶㕣攸摣㐷㔸搵愸戸昸㔷收㠳敡㍢づ㜸㌹㝤攳摢㑥㠲昷〳㘹㈶㤷ぢ〵搵ㄱ昰ち捤㠵换㝢㠲敡摦愹愱㥢㑢㈹㕤㝥つ㐹㌶㐸㕣昳ぢ㡣ㄲ㤰㌲挳挴摦戲㐰摡㥥ㅡ㕣户戳㌵戸昴ㄷ搸㐱㌴㌲㐳搱㉢㡥㠶㝤慥㡤愶挶敢㤰㑢挳晡㠶ㄳㄱ㔸戹㠴㠷摦㘶挰捡昵㍥搱挸〷㉢慣㘵て㌹㕣捣㉢〳捦㍢攴扣攰愰㤷〳敢昳㑥㠲昷戳㙢㈶㤷晦〴搶㜲㜸〵㔸戹㠶㈷戰㍥㑢つつ㙢〵㕤收㝡㥢つㄲㄷ昶〲㤵攰㘵㙥㤵愹愷戲㌰慡愶挲㤷㘹〵㉥敦〵㙡㐵㈱摤攳㍤收㈸搸㙤㌵㐲〵㉥摦愵㐱攵㌲㥥㙥晤㈵㕣愵挳㙦㌳㐰攵㤲㥥㘸攴〳㌵愷㙢晢〹攲㘵㍥愰㍥攸㘰㤷〳敡〳㑥㠲昷㔳㙥㈶搷〳〵搴㕤攱ㄵ㐰攵晡㥤㠰㝡ㅦ㌵㌴愸㡤㐸㉣改㡤㈴晣㌶摤㌱挸攲挰㙡〱㤷昳㐴㌳㥦㠳昶㉢㥢㈷㌴㡡愳攳昷戲㠷扦捥昶㐶挵ㄵ㍥㍦㐷敦捣攷攸ㅤ㑥㠲昷㤳㙤㘶〹㉣㠹愳搳㙤㐷戹㠶㈷㡥摥收㜶㜴㈶敢㜶〸㤲散搶挳㠵扤挰㙣昰摣㍤搷捤㔰搰㔵ㅦ㌲收㔰㠳㡢㜳戶〶搷昷〲昳挰㜳㜵㡥搷㍢ち昶㌹戹㠰ち挳㈰愶㙤㈸慥攳愵㥢て㤷改愴㌱搸攸㘹敡扤愳敦敡敡㐶㘸㡤㝣攸收㜴㜵㕣摥昳㐳昵㙡〷扣㥣收㜳㤵㤳㤰昳ㅤ㌸㉥〸昶昴ㅤ㌸㍥㜳㙣㜵捡ㄷぢ㑡攰㑥㜱㠲㌷攴晢㈴㙣㌶搷昰攴〵昵慤昲㠸㜱㕦㝣戳㈹戹摡㑡昲挵㝡昸㔲搳愲㤶㌶攷戹㕡㝣戵㡣㉦攷搵㕦〵㌲㈴㐶攵㐰㘲㝥ㄲ㥦〹敡㥤㤸搵㠹㔷戰挷㠳㙤ぢ愲愹㤴㤵㙣晦㈵㍣㕦㠶摤㙦㐵慣㜴㕣㍤攱㈵挰〵㠵扥捦㕢昳㐱㙡摦ㅢ昷㠲㔸㜹〶て晤ㅡ敥㐲㝥敡改攷㍤㕤ㄶ搸ㄳ㡤捦昵㐲㥡戸敢晢㘵㐵敡ち搴戲扤戴㝦㜸挱㝦愴搸㔸ㄶ㌰㤶㐰㈵戰㌷㐸慦挹㥤㙤㜲㍤〸ㄲ㌲昶〱㐷摥敡㈴愴愰㜸㐷戴〴慦㝦㝣〸㝥㍡〱㈸㕥搷ㄲ㑦慤ち慣戲㕡㔶慥挲㐶攰㍥㝤昴㐳敡捣㐵㜱愱㤲つ㈹戰ㄴ㌶摤慦㠷挸㉥摥㐵扥挵㕢挶㜲戰㜸㤹愲慤挸㉥㥡攲㕡㈷㡢愷て挵〵㐳挹戰ㄹ㤲㜹攱㌸搷㌷扦㌸㔴〲ㄶ㐸㌶ㅣ〹㑦㥥㕣㜶捣捡㤳㙢㜹㤲攷慡敥昲晣慤㙦㥥晢㌳捦搵㌹㜹戶㝡昲攴㡡㘰㔶㥥搳㜴㥥敤㤰㑣扦㈰㈲ㅢ搵㔳㝣㜳㕣挳ㅣて挸挹㌱改挹㜱㠶㈷挷㈲㉥㈰㜵户㝥挵扢〸扤摢㤶㐷㤳挹攸㠶㘰摢昲㔶慢㝤㘵㙡㔵㜰昹㕡㉣搷攱ㄳ㝡戰ㅥっ〶つ扥㜲㕢ㅦ㡡㉢㑣戴㙡㜴戹戸㈶㔷㘸愴㌷㕦换ㄲ慤㈳㔹てㄲ㔲㕣㠵ㄱ㤸㌷㈰摡〷捦㘳㑥㉣戵㕦昰愸搴㌱扥㥥ㅥ〴戹挰挱㈰扤昰㈵〰㥣愴㌸搸扣て〱挷搵扣搵ㄲ㙤昷㌰㈴㤴㘰㉤搰㡡攱摤昲愵㙢戹㍣搸㔹愸づ搷戶㍦慡摣㌲㜳敡ㅣ㐱㈳戴㉤㕦㍤ㄲ扢㐷㜹散㜲㠱㐸㠶愱㠳㘰㠱攳慤摣㘳㔷㕣㌲ㄲ昶㠱づ㝢〰捡ㄵ㔲㕣㐴ㄲ昶〶㠷㍤㐴搸㑢㌵㝢扤挳ㅥ㉡㙣㉥㌴㠹昴㍡㠷㍤㕡搸换㌴㝢慤挳ㅥ㈳散ㄵ㘰戳昵㉣㍥敢昶挶ㅦ慢昶㥢慣戸㕡㈴敡㕤㡥ㅣ换㄰挴㙡收㑡㈴〸挶㈷挰㤹扣愷㑦㈷戴㜲㝢㤳ㄳ愱ㄲ㌸〹㈴晢昴㌹搹〳ぢㄷ㥦摣㑤搹攴㡡㡥㔴昸愹㤴㍣㡤攴㜴㤰㤰攲慡㡤ㄴ收っ㐴戳㉢㝣㝦摦ㄲ晣㤶扡㔲㈹改捡㍥㡢慣攷攰㥤摤㤷㈹㉥〲搱愶挱捡㉥㔴㜱㙤㈷慢㜲捦㑤摢攱㈷慤愴㜲捦昷搸攱攲㤱㈰戸摣㐱搰慥㕣㉥㈷〹㝢㤹挳戶㉢㤷ぢ㑣挲摥捦㘱摢㤵扢㔶戳㤷㍡㙣扢㜲戹〸㈵搲晢㍡㙣扢㜲搷㙢昶㍥づ摢慥㕣㉥㐸㘵㔵敥攱㘰〸㙣㤷愱捣昹晢摣㈵戰㤲㕢㠹㔷㐰㈷㜰㈵㐸㜶㈵㕥攵㜱㥦ぢ㔲敥㑡㔴㕣㙤㤲㜳昹㡦㤰搴㠷攲㝡㤲㜰慦㜱㜳戹㘲㈴摣㙢摤㕣㉥慡㐸戱慦〳㌷㝦戱攷晢ㄶ晢〶攸〴㙥〴挹㉥昶㑤攰戸㙢晦㑣攴㤱㔵散㜳㜴愶户㐰㌲㙦㝢㥦攵㥢攷慤㌴捥攱㈲㌳㍣摤敥挹敦㍣㙦㝥㕣㜷㄰㈷敦散㉥扦㈶摦晣敥捥捤敦㕥㑦㝥㕣戹挸昲㡦换〱㤲摦晤㤰捣㌳㑣㑣昲捤敤㐱㥡收㌰㤱昱敥㘱㑦㙥㕣㑥挸捡㡤慢〵㔲戱㡦㔲捦㌹搴㉤㥡晢㤸㥢㝢愷㉥搹攳攰敡㌷昵㘶㡦㕦㌵扥〵㝢㤲愵挸㉥搸㥦挹㜲㥤攴㜷㝢ち㘶昲㉥户㜴㌱捦㔰昲㔹ㄱ〷〹愹㠷㤰㈰愷摡〴攴挵㍥㕡㜷㠴㡦攸攲扤〰戹散扥㘷㥣㙦戱㕥愲搱散扥攷㉦㤲て㘰㜰晡ㅥ摥㉡㘷㘵㌸㝤㑦㤹戶㤳搵昷扣㤶戶㤳敥㝢㕥昷搸攱㉤㜶㈹㜴愹㔳㘸扢敦攱㑤㜷㘱㙦敢昲㈵愴㥥搰散ㄱづ摢敥㝢㜸㘳㕥愴户㜱搸㜶摦挳㕢昵挲ㅥ敥戰敤扥㠷㌷敦㠵扤戵挳戶晢ㅥ摥戶㘷ぢ㐸て㉣㉦㈱㈲敤敤㍤㤴㌹㑦㝢摢ㄲ㈶㜲㍢㥥て攸㘴㜶戵㝥攸昱晢㉦㑥㙥改㤶昵ㅡㄸ搲摥㍥㠶愴㍥搴㥢㥡晢㠹㥢换㥢搹㔲戲㑦挱捤㝢愶て昰㉤摢攷㉣㐸昶㤹晥〵㔹慥㈶挷摢攱㔹攷〲敦㌱㑢㝥㕦㜵㤷㕦ㅦ摦晣扥捥捤敦ㅢ㑦㝥扣㑢㥤㤵摦搷㍡扦敦㈰㤹〷昹㘲摦摣㝥愰改㙣攴㝦昲攴昶㡤㌷户ㅦ挰㄰攴㘵搱挷㠱㕥ㄵ㐰㑤戸㡡㑢㐱㥡ㅢ〰㔷㤰㈸〴㌷㉦昲㍦晥摢慦㔵ㄴ㐱挵㠳㝣㠰㉣ㄷ昲㐱㤸捦㐲愲扦捥㉦〸挹㍣㐸晣摢㌷户㄰㑤㜳ㄴ挹昴㜹㝤㍤戹㤹摥摣〶㠳㈱㍥昷㠷愴㍥搴㌰捤㉤㜱㜳㐷㠰㉢㐸㤸攰收㈹搹㘷扥㈵ㅢ〸㠵挰㈰㤰散昱㙤㌰㌸㙥㉣㑡扤愵攳㝤㐵㈹摤㄰㐸敡㐳㡤搶摣愱㙥㙥戹㉥摤㌰㜰昳㤴敥㝤摦搲㙤挵㘲戰㜴ㄹ摣㠶㤳攵慡愵ち㙦挹慡㜵ㄹ㐶㔰捦㌹㔴㐴㜳户㜵㜳㜷搵㈵㉢〵㌷晦搴攰つ摦挲㡤㘲㐹戲㥢昷昶㘴戹ち搷攸㉤摣㜴㥤攱づ㤰捣〳挵㉢扥戹㡤捥捤㙤慣㈷户㤹摥摣收㠰㈱㤵㌴ㅥ㤲晡㔰ぢ㌴㜷㠲㡢㕢扣〴摣㑤扥愵挰挹敢捦㝣㤷㑢㌹㌲㔵扣ㄱ㐰ㅢ挶㑥㡣㈱㈰㝦换挰㘵㌱㡣ち㜲㔷㘸㤹戰㕢㠶㤷搲㈲㔳㐹㙥㐲换㔴戹㘵㜸改㉢㌲搵攴戶㙡㤹ㅡ户捣ㅡ㉤㔳㑢㉥慦㔱愵㍣㜵㉥㤹㤲ㄴ戸㍣㠲㈵晡㍡㌲愸㜸敤㈸攳搵愳愸㈵㡥敢晣㠴㐰戰㌰愰㜸㍤㈹〹㡦㌸〹㤳㈴㐱愹昵㍡攱㘱㈷愱〱〹挶捥捣㠸搷㤱㔲搰㕤ㄸ攳攵愳ㄴ㘲ㄲ㘲〸换㥦攲昵愰挸散㑡ㄹ㕥ち㡡㑣〳㘲昸挹㥦㍡㔱换㌴㔲收㘴㉤㌳㤹㌱挸挸ㅦ慦㠱愴㝣㜷㝢ち捥敢㈲㐹戸换㔳昰搳㜵挲㥤敥㠲㑦愳㔱㕥て㐹愱愶㌳挶㑢㈱㈹搴っ挴㜸敢㠶㝦㡡搷㍡㈲㌳㤳㌲扣捣ㄱ㤹㔹㙥ㄹ㕥ㄴ㠸捣㙣捡昰㕡㐰㘴㜶㘳捣㈹㜸㠹㥥昷〷㑢慥㐱㍡㡦㘰㠹㥥摦〷ㄵ攷攷㘲㘱づ㜵㙥搲ㄶ收扡㉣愸㕢戵捣㍣㜲㌹㤵㤶㕣收扢㘵敥搶㌲ぢ挸扤㔷换散敥㤶攱捣㔵昲㕡㐸敥挳㕡㘶㤱㑢愶攴㔱㜰敤㌲敡㐹㘹㔰㜱㘲㈹㝡㡢㈹昹㘷慤户㠷㑢㑦㍤〳慥搴挲㤵㥥敡攱㥣㔲ㄲ慥昰㔴捦㜳㍡攱㜲㜷昵散㑤愳㥣㌲㑡㠶晢㌰昶ㄷ挴挴攱㝤ㄱ㐳搸㙥㔷㥣づ㡡捣㔲捡扣慥㘵昶㐳っ㍦扢㕤㝤愰㘵㤶㔱㠶戳㈶戱戳㥣㌱挸昰慦㐴捦㤰㠲㈵㝡㔶ㄴ㔴㥦㙢扤ㄵ㤴晣㐲敢㐵㕤㝡㡡㔳ㄱ挹扦㤹摣㙦戴㑣捣㉤挳〹㠴挸挴挹晤㐹换㔸㉥㤹ㄲ㈹㈹ぢ㕣愲攷〶㐱挵挱㕤昴ㄲ㤴攴戸㉥攵㕥改搲㔳ㅣ㤲㐵㘶ㄵ戹ㅣ㡤㐵愶挵㈵㔳愲㐷摥㘰㠹ㅥ㙤㠳㡡〳愶攸敤㑦㐹㡥㤳愲户摡慤愷挷挴㘰㠹ㅥ〷㠳㡡㐳㤹攸戵㔲㤲愳㤸攸戵戹昵昴㠸ㄵ㉣搱愳㔴㔰㜱㤴ㄱ扤㜶㑡㜲㠰ㄱ扤づ㤷㥥攲搸㈰㌲㙢挸攵戰㈰㌲〷戸㘴㑡昴㄰㄰㉣搱摤㝥㔰㐹㕦っ散㡣㈴㈴昵㘱戲㑦㤶㙢㥡㑥〴戰扣㈳扤㌱愵㔲㙥㈹昶捡㈲搵㘵㑢㐹㝦㑣愹㉣㕢散㤷㐵㙡㥤㉤㈵㍤㌲愵搶㈳慥て㤳㍤戳㐸㙤戰愵愴㑦愶搴㠱㙥㈹昶捤㈲㜵㤰㐸㤵戰ぢ摤ぢ㔲㠵敢㔵㙣㐵㝣挵㡡㙦㑡㡡㑡户㉡㕡搲搸昷慣㌷ㅦ㝦敢搴ㄷ㤶㑥㝡晦㠷㜳捥㜹攱㥤㔳㥦晣攱捥收㐹㡦晣攱てて捥㍥晦挹户〶㈶㉥㈸扣攵㥢㌹ㄷㅣㅣ㕥㝤昰〱㠹㍤挶捥㌸㜸敦晤㜷て㉦ㄸ㌰慥㔷慦摥扤㜷ㅣ昴攸戰搱收攱〷摣慡敥㝢㘵㘸扢㤲㕥㤹挵㌸ㄸ㌹ㄱ㔱晥㤹散㥤昱挳㕢ㄹ㐱㡤㐳㐹づ㈳㌹㥣攴〸㤲㈳㐹㡥〲〹㈹改戴㈹晣㉢㐴㜹搰〱㔳㜷摥挶搱㤴㍣㠶攴㔸㤲攳㐸㝥㑤戲㤱攴㜸㤲ㄳ㐰㔴㈳〹㌴㡤摦㈰愰て㤳晤扢〰㜲㈲〲晤㝡㤵戰㙢晥㥦〲㈲扤㍤㡢㜱ㄲ㜲㑡〳挲㕥㕦㡡㜱㌲〲挶㈹㈰搸㡤㈵㥤㍥㐵昵扥㘹㤶摡㘴攷㉦愲愷㔱昴㜴㕢㜴㌶晥ㄳ攷捥㐰㐰ㅦ㈶挷〰ㄱ㍤㤳㔲扤搴ㅣ㉤昵㕢户ㄴ晢㜹㤱晡㥤㉤㌵㑦㑢㘵戵挲昹㕡敡㙣㕢㑡晡㜸攴㘴晣ㅥ㜱㝤㤸散敢挵搶㌹戶搴㐲晣㈷攵捡㙡㠵散敤㐵敡㍣㕢㙡戱㤶捡捡㤱㝤扢㐸㕤㈰㔲㈵散㤶晦愷㔵戳㡦㉥挶㠵㑥㠰㈵㌷搹攳攳㔷㘰晣〱搴戸㠸攴㘲㤲㑢㐸㉥㈵戹㡣攴㜲㤰㤰㕡ち㉡晥㕥㠱〰て㍡㘰敡〱挱戸㤲㤲㔷㤱㕣㑤昲㐷㤲㙢㐸慥㈵戹㡥攴㝡㄰戵㡣〴㥡搹㈷㉦挷っ〱攴㐶〴㔰㥤㉢戴㔴㔶ㄵ㐴戵搴捤戶㤴㡣つ戴㤵〵㉥挷〸戱昵㈷㕢㉡㡥晦㜲㜳攴㈸㈱㔲户搹㔲〹㉤㤵㤵㈳挷〴㤱扡挳㤶㕡愵愵敥㐴㐰ㅦ㈶㐷〵㤱扡换㤶摡㕦㑢摤敤㤶攲ㄸ㈰㔲昷搸㔲慤㕡敡㕥户㔴㥢㤶扡捦㤶㙡搷㔲㔹捤慣㐳㑢㍤㘰㑢慤昱㤵㍡㐰㑢㍤㈴㔲愶㠶㐹㜵㈲㉥戳㠶㠹捥攴㘰ち㝣〹攲㠵换扡て㔷㕤㕡愲㍥㕢㐲戱愷ㄶ搵㐸㜶㠲愹扢㙣挵㕥㕡㈴敡㍣ㄲ摡〳㜵㤰㤶愸昵㐸戰㈷ㄵ㠸㥥㐰〰捤㠰㝤愸㤸慡捥ㄶ㔴㠷敡㠴㉡㈷挱扥ㄵ挵㥥㔶攴㉢ㅤ戶㝤ㅢ晣㜰捤づ㍢㙣晢㔶搴ㄱ㥡㕤攱戰敤㕢㔱散㥦挵挸㑥づ㝢㌴挰〹㈹昶搸挲㉥㜷搸㜲㉢捡㘴捦捤㈲昷㉢㔲㐷㙢㠹〹㡥㠴㠳慡㘲ㄷ㉥慡攳㥤〴ㄳち挶㡢攰㉡㜶散㤲㌴搶㐹戲ㅤ㘱㔷㉦散㌱づ摢㜶㠴㥤扦戰㐷㍢㙣摢ㄱづ〷挲摥搱㘱摢㡥ㅣ慦搹㍢㌸散搱攲〸㠷っ㤱㉥㜳搸戶㈳㝡散㔰ㅣ㉥㈴㝤㝢㈷㕤㌷づ㜶敢㔲㍢㝦㐳〰戵挳づ㕤〴㐷㘵ぢ㉡㜶昲㤲㌰搲㐹㄰㝦摦〴㔷戱㘷㤷愴㙤㍤㍡散敤㈵㘱㠴㕢攷㙤㜰捤㌳㐰㜸㈸昶昵㈲㌳㍣㕢搹搴㥤扥㘲㍦㉦ㄲ㕢㘷㑢愸戳㜵挲㔶搹〹愶㍥摤ㄵ扢㜵㔱摤㌲㕢㐲戱㈷㤷㠴㘱㥥㠴ぢ㜴挲搰散〴㤳㥤慣〰昵㈱〲〰㡡摤慢㔸搸㈲㕢㔰㕤愴ㄳ〶㍢〹㜶敤戳ㄳㄶ昹㐱づ摢慥㝤㜶换挲ㅥ攸戰敤摡㘷㐷㉤散〱づ摢慥㝤㜶摤挲㌶ㅤ昶㘸㐰ㄸ㔲散捣㠵㕤攲戰敤摡㘷愷敥㌴㘳昶攴㈲搱摦㤱搰捤㤸扤扢㈴昴㜳ㄲ愴㕡扦〲㔷戱捦㤷愴㍥㑥㤲敤〸㐷〱㘱㠷ㅣ戶敤〸挷〵㘱ㅢづ摢㜶㠴㈳㠵戰㠳づ摢㜶㠴㘳㠷戰㝢㍢散搱攲〸㐷ㄳ㘱〷ㅣ戶㝤㙢㤸〳㠸戰㡢ㅤ戶㉥㍤挷っ㐹㈸昲㈴㜰㤸㤰㠴㕥㥥〴㡥っ㤲㔰攸㐹攰㘰㈰〹㉡㍢挱搴愳㠲攲㐰㈰ㄲ〵ㅥ〹㍤㈲㈸づ〲㈲昱㥦慦敤㍢〵晡㉣搳愳㠱攲〰㈰ㄲ㍦㘵㑢㈸昶昹㤲昰愳㈷㠱摤扣㈴晣㤰㥤㔰捣敥㜴晢晣㑦挴㘷㌶㠴㐰づ敦愶挳愷攸㔳摣ㅡㄲ㙡㥢搶摥搵㈶捦愲〶摡ㄶ慤挲㑢晢〷㌸摦㜰ㅦ㤷㤶ㄹ㤸收愴㘵晢愷㔹愲戳㘵㔳㐷摢㥡㘸㌲摡摣㙡㔱㘴㕣挶攸ㄶ摥ㄴ㤱㐷㌳㘴㑢㉣ㄸ㤵扦挰扡㠰㝣愸ㅥ搷㐰㥢㉡ㄸ㔴㔴㌰㡡つ㍢〷㍣愲愵㐳捣㔰㈹昶挸㜲愱ㄴ〰㕦戱㤷㈳㜰㐶㙦㉤㤵〹搹昲散搱㐴㍥㐸㜹昶㔵ㄲ㌳ㄸ攳愹㉦摡愱戴㜶㍡㘴㙢昳挴ㄱ昹㍥㤰㈸㘶㔱㌶挱ㄱ㑥㘴㝥收慤戵扥㉣㤶㜸㐶㄰㜴㔳㐵戸㐰搱㐳ㄶ挰攸㑦ㄹ昱㠶㌲㈵㠸昱挰㤵㌵ㅥ摤㘵ㄲ〲㠶改㜰㤹愲攸㤳㘸づ㘰㌲㍤ㄱㄹ㙤㥤摤㠰㤲㡣愹㌹挸㐹愶㠸㤲慣挸ㅤ散攲㥡㍡㑢㔳攷愲挴㌰攵戶㜰换搱ㄴ㘱㌴㠶㈰㠰〷㔰㘹㐴攲㐳敤㌸㠵㈵㍥㑣攲挵ㄴ敢收晥攵〲㉢ㄹ戳摡㔳㉤慤ㄶ㥢㔶〸㠶晢戵㌵㜵㜵愶㍡散搶摦㔹㉣敤㍤昷㝣ㄸ㐸昱㜱㔹愲㈱㥢㐵㕡㘲〷搳㈷㐶ㅦ㈷㠹㘷搲收㥥ㄵ㝣戳ㄸ晦㜰㍦㝥㐴昷敤摤㍥㈹㌶㑤捡㌹㈳戶〴㍡㈱愹ㄵ㈳ㄳ㤴戸㈲㥥〴捦搸㉡㈳㤳〹摡㌲挴㔸㘴㌲捡㕥㍢㈵㑣㤲搲㤷㔰㕢㐲㝤晥㍦㑥攰搸敥</t>
  </si>
  <si>
    <t>CO2-based fluids (CO2 base)</t>
  </si>
  <si>
    <t xml:space="preserve">Water-based fluids </t>
  </si>
  <si>
    <t>CO2-based fluids (CO2 outlook)</t>
  </si>
  <si>
    <t>Scenarios:</t>
  </si>
  <si>
    <t>Source of File:</t>
  </si>
  <si>
    <t>http://pubs.acs.org/doi/abs/10.1021/acs.est.6b02913</t>
  </si>
  <si>
    <t>Click on "Supporting Info" link to download the Excel file</t>
  </si>
  <si>
    <r>
      <t>Environmental Life Cycle Analysis of Water and CO</t>
    </r>
    <r>
      <rPr>
        <b/>
        <vertAlign val="subscript"/>
        <sz val="8.8000000000000007"/>
        <color rgb="FF000000"/>
        <rFont val="Arial"/>
        <family val="2"/>
      </rPr>
      <t>2</t>
    </r>
    <r>
      <rPr>
        <b/>
        <sz val="15"/>
        <color rgb="FF000000"/>
        <rFont val="Arial"/>
        <family val="2"/>
      </rPr>
      <t>-Based Fracturing Fluids Used in Unconventional Gas Production</t>
    </r>
  </si>
  <si>
    <r>
      <t>Rodney Wilkins</t>
    </r>
    <r>
      <rPr>
        <b/>
        <vertAlign val="superscript"/>
        <sz val="8.8000000000000007"/>
        <color rgb="FF333333"/>
        <rFont val="Arial"/>
        <family val="2"/>
      </rPr>
      <t>†</t>
    </r>
    <r>
      <rPr>
        <b/>
        <sz val="11"/>
        <color rgb="FF333333"/>
        <rFont val="Arial"/>
        <family val="2"/>
      </rPr>
      <t>, Anne H. Menefee</t>
    </r>
    <r>
      <rPr>
        <b/>
        <vertAlign val="superscript"/>
        <sz val="8.8000000000000007"/>
        <color rgb="FF333333"/>
        <rFont val="Arial"/>
        <family val="2"/>
      </rPr>
      <t>‡</t>
    </r>
    <r>
      <rPr>
        <b/>
        <sz val="11"/>
        <color rgb="FF333333"/>
        <rFont val="Arial"/>
        <family val="2"/>
      </rPr>
      <t>, and Andres F. Clarens</t>
    </r>
    <r>
      <rPr>
        <b/>
        <vertAlign val="superscript"/>
        <sz val="8.8000000000000007"/>
        <color rgb="FF336699"/>
        <rFont val="Arial"/>
        <family val="2"/>
      </rPr>
      <t>*</t>
    </r>
    <r>
      <rPr>
        <b/>
        <vertAlign val="superscript"/>
        <sz val="8.8000000000000007"/>
        <color rgb="FF333333"/>
        <rFont val="Arial"/>
        <family val="2"/>
      </rPr>
      <t>†</t>
    </r>
  </si>
  <si>
    <r>
      <t>†</t>
    </r>
    <r>
      <rPr>
        <sz val="10"/>
        <color rgb="FF000000"/>
        <rFont val="Arial"/>
        <family val="2"/>
      </rPr>
      <t> Civil and Environmental Engineering, 351 McCormick Road, Thornton Hall, University of Virginia, Charlottesville, Virginia 22904, United States</t>
    </r>
  </si>
  <si>
    <r>
      <t>‡</t>
    </r>
    <r>
      <rPr>
        <sz val="10"/>
        <color rgb="FF000000"/>
        <rFont val="Arial"/>
        <family val="2"/>
      </rPr>
      <t> Civil and Environmental Engineering, University of Michigan, Ann Arbor, Michigan 48109, United States</t>
    </r>
  </si>
  <si>
    <r>
      <t>Environ. Sci. Technol.</t>
    </r>
    <r>
      <rPr>
        <sz val="9.9"/>
        <color rgb="FF000000"/>
        <rFont val="Arial"/>
        <family val="2"/>
      </rPr>
      <t>, </t>
    </r>
    <r>
      <rPr>
        <b/>
        <sz val="9.9"/>
        <color rgb="FF000000"/>
        <rFont val="Arial"/>
        <family val="2"/>
      </rPr>
      <t>2016</t>
    </r>
    <r>
      <rPr>
        <sz val="9.9"/>
        <color rgb="FF000000"/>
        <rFont val="Arial"/>
        <family val="2"/>
      </rPr>
      <t>, </t>
    </r>
    <r>
      <rPr>
        <i/>
        <sz val="9.9"/>
        <color rgb="FF000000"/>
        <rFont val="Arial"/>
        <family val="2"/>
      </rPr>
      <t>50</t>
    </r>
    <r>
      <rPr>
        <sz val="9.9"/>
        <color rgb="FF000000"/>
        <rFont val="Arial"/>
        <family val="2"/>
      </rPr>
      <t> (23), pp 13134–13141</t>
    </r>
  </si>
  <si>
    <r>
      <t>DOI: </t>
    </r>
    <r>
      <rPr>
        <sz val="9.9"/>
        <color rgb="FF000000"/>
        <rFont val="Arial"/>
        <family val="2"/>
      </rPr>
      <t>10.1021/acs.est.6b02913</t>
    </r>
  </si>
  <si>
    <t>Publication Date (Web): November 4, 2016</t>
  </si>
  <si>
    <t>Copyright © 2016 American Chemical Society</t>
  </si>
  <si>
    <t>*Phone: 1-434-924-7966; fax: 1-434-982-2951; e-mail: andres@virginia.edu.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</si>
</sst>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0"/>
    <numFmt numFmtId="166" formatCode="0.0000"/>
    <numFmt numFmtId="167" formatCode="0.0"/>
    <numFmt numFmtId="168" formatCode="0.000E+00"/>
  </numFmts>
  <fonts count="32" x14ac:knownFonts="1">
    <font>
      <sz val="11"/>
      <color theme="1"/>
      <name val="Calibri"/>
      <family val="2"/>
      <scheme val="minor"/>
    </font>
    <font>
      <b/>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i/>
      <sz val="10"/>
      <color theme="1"/>
      <name val="Calibri"/>
      <family val="2"/>
      <scheme val="minor"/>
    </font>
    <font>
      <sz val="9"/>
      <color indexed="81"/>
      <name val="Tahoma"/>
      <family val="2"/>
    </font>
    <font>
      <b/>
      <sz val="9"/>
      <color indexed="81"/>
      <name val="Tahoma"/>
      <family val="2"/>
    </font>
    <font>
      <sz val="10"/>
      <name val="Calibri"/>
      <family val="2"/>
      <scheme val="minor"/>
    </font>
    <font>
      <sz val="10"/>
      <color rgb="FFC00000"/>
      <name val="Calibri"/>
      <family val="2"/>
      <scheme val="minor"/>
    </font>
    <font>
      <b/>
      <sz val="10"/>
      <color rgb="FFC00000"/>
      <name val="Calibri"/>
      <family val="2"/>
      <scheme val="minor"/>
    </font>
    <font>
      <b/>
      <sz val="10"/>
      <name val="Calibri"/>
      <family val="2"/>
      <scheme val="minor"/>
    </font>
    <font>
      <b/>
      <sz val="10"/>
      <color theme="9"/>
      <name val="Calibri"/>
      <family val="2"/>
      <scheme val="minor"/>
    </font>
    <font>
      <sz val="10"/>
      <color rgb="FFFF0000"/>
      <name val="Calibri"/>
      <family val="2"/>
      <scheme val="minor"/>
    </font>
    <font>
      <b/>
      <sz val="10"/>
      <color rgb="FFFF0000"/>
      <name val="Calibri"/>
      <family val="2"/>
      <scheme val="minor"/>
    </font>
    <font>
      <sz val="10"/>
      <color theme="7" tint="-0.249977111117893"/>
      <name val="Calibri"/>
      <family val="2"/>
      <scheme val="minor"/>
    </font>
    <font>
      <b/>
      <i/>
      <sz val="10"/>
      <color theme="1"/>
      <name val="Calibri"/>
      <family val="2"/>
      <scheme val="minor"/>
    </font>
    <font>
      <b/>
      <i/>
      <sz val="12"/>
      <color theme="1"/>
      <name val="Calibri"/>
      <family val="2"/>
      <scheme val="minor"/>
    </font>
    <font>
      <b/>
      <sz val="10"/>
      <color theme="0"/>
      <name val="Calibri"/>
      <family val="2"/>
      <scheme val="minor"/>
    </font>
    <font>
      <b/>
      <i/>
      <sz val="12"/>
      <color theme="1" tint="0.14999847407452621"/>
      <name val="Calibri"/>
      <family val="2"/>
      <scheme val="minor"/>
    </font>
    <font>
      <u/>
      <sz val="11"/>
      <color theme="10"/>
      <name val="Calibri"/>
      <family val="2"/>
      <scheme val="minor"/>
    </font>
    <font>
      <sz val="10"/>
      <color rgb="FF000000"/>
      <name val="Arial"/>
      <family val="2"/>
    </font>
    <font>
      <b/>
      <sz val="15"/>
      <color rgb="FF000000"/>
      <name val="Arial"/>
      <family val="2"/>
    </font>
    <font>
      <b/>
      <vertAlign val="subscript"/>
      <sz val="8.8000000000000007"/>
      <color rgb="FF000000"/>
      <name val="Arial"/>
      <family val="2"/>
    </font>
    <font>
      <b/>
      <sz val="11"/>
      <color rgb="FF333333"/>
      <name val="Arial"/>
      <family val="2"/>
    </font>
    <font>
      <b/>
      <vertAlign val="superscript"/>
      <sz val="8.8000000000000007"/>
      <color rgb="FF333333"/>
      <name val="Arial"/>
      <family val="2"/>
    </font>
    <font>
      <b/>
      <vertAlign val="superscript"/>
      <sz val="8.8000000000000007"/>
      <color rgb="FF336699"/>
      <name val="Arial"/>
      <family val="2"/>
    </font>
    <font>
      <vertAlign val="superscript"/>
      <sz val="8.8000000000000007"/>
      <color rgb="FF000000"/>
      <name val="Arial"/>
      <family val="2"/>
    </font>
    <font>
      <sz val="9.9"/>
      <color rgb="FF000000"/>
      <name val="Arial"/>
      <family val="2"/>
    </font>
    <font>
      <i/>
      <sz val="9.9"/>
      <color rgb="FF000000"/>
      <name val="Arial"/>
      <family val="2"/>
    </font>
    <font>
      <b/>
      <sz val="9.9"/>
      <color rgb="FF000000"/>
      <name val="Arial"/>
      <family val="2"/>
    </font>
    <font>
      <b/>
      <sz val="16"/>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CC00"/>
        <bgColor indexed="64"/>
      </patternFill>
    </fill>
    <fill>
      <patternFill patternType="solid">
        <fgColor rgb="FF00FFFF"/>
        <bgColor indexed="64"/>
      </patternFill>
    </fill>
    <fill>
      <patternFill patternType="solid">
        <fgColor rgb="FFFFC000"/>
        <bgColor indexed="64"/>
      </patternFill>
    </fill>
    <fill>
      <patternFill patternType="solid">
        <fgColor theme="6"/>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CE0C4"/>
        <bgColor indexed="64"/>
      </patternFill>
    </fill>
    <fill>
      <patternFill patternType="solid">
        <fgColor rgb="FFFDE2C7"/>
        <bgColor indexed="64"/>
      </patternFill>
    </fill>
    <fill>
      <patternFill patternType="solid">
        <fgColor theme="5" tint="-0.249977111117893"/>
        <bgColor indexed="64"/>
      </patternFill>
    </fill>
    <fill>
      <patternFill patternType="solid">
        <fgColor rgb="FFFFFF00"/>
        <bgColor indexed="64"/>
      </patternFill>
    </fill>
    <fill>
      <patternFill patternType="solid">
        <fgColor rgb="FFFFFF6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20" fillId="0" borderId="0" applyNumberFormat="0" applyFill="0" applyBorder="0" applyAlignment="0" applyProtection="0"/>
  </cellStyleXfs>
  <cellXfs count="16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0" fillId="0" borderId="0" xfId="0" quotePrefix="1"/>
    <xf numFmtId="0" fontId="0" fillId="0" borderId="0" xfId="0"/>
    <xf numFmtId="0" fontId="1" fillId="0" borderId="0" xfId="0" applyFont="1"/>
    <xf numFmtId="0" fontId="2" fillId="0" borderId="0" xfId="0" applyFont="1" applyFill="1" applyAlignment="1">
      <alignment horizontal="center"/>
    </xf>
    <xf numFmtId="0" fontId="2" fillId="3" borderId="0" xfId="0" applyFont="1" applyFill="1" applyAlignment="1">
      <alignment horizontal="center"/>
    </xf>
    <xf numFmtId="0" fontId="2" fillId="0" borderId="0" xfId="0" applyFont="1" applyFill="1"/>
    <xf numFmtId="0" fontId="5" fillId="0" borderId="0" xfId="0" applyFont="1"/>
    <xf numFmtId="0" fontId="4" fillId="2" borderId="0" xfId="0" applyFont="1" applyFill="1"/>
    <xf numFmtId="0" fontId="2" fillId="2" borderId="0" xfId="0" applyFont="1" applyFill="1" applyAlignment="1">
      <alignment horizontal="center"/>
    </xf>
    <xf numFmtId="0" fontId="4" fillId="0" borderId="0" xfId="0" applyFont="1"/>
    <xf numFmtId="164" fontId="2" fillId="0" borderId="0" xfId="0" applyNumberFormat="1" applyFont="1" applyAlignment="1">
      <alignment horizontal="center" vertical="center"/>
    </xf>
    <xf numFmtId="0" fontId="0" fillId="0" borderId="0" xfId="0"/>
    <xf numFmtId="0" fontId="4" fillId="2" borderId="0" xfId="0" applyFont="1" applyFill="1" applyAlignment="1">
      <alignment horizontal="center"/>
    </xf>
    <xf numFmtId="0" fontId="2" fillId="2" borderId="0" xfId="0" applyFont="1" applyFill="1"/>
    <xf numFmtId="0" fontId="2" fillId="0" borderId="0" xfId="0" applyNumberFormat="1" applyFont="1" applyAlignment="1">
      <alignment horizontal="center" vertical="center"/>
    </xf>
    <xf numFmtId="0" fontId="2" fillId="4" borderId="0" xfId="0" applyFont="1" applyFill="1"/>
    <xf numFmtId="0" fontId="4" fillId="2" borderId="0" xfId="0" applyFont="1" applyFill="1" applyAlignment="1">
      <alignment horizontal="left"/>
    </xf>
    <xf numFmtId="0" fontId="2" fillId="6" borderId="0" xfId="0" applyFont="1" applyFill="1"/>
    <xf numFmtId="0" fontId="2" fillId="7" borderId="0" xfId="0" applyFont="1" applyFill="1"/>
    <xf numFmtId="1" fontId="2" fillId="0" borderId="0" xfId="0" applyNumberFormat="1" applyFont="1" applyAlignment="1">
      <alignment horizontal="center"/>
    </xf>
    <xf numFmtId="0" fontId="2" fillId="8" borderId="0" xfId="0" applyFont="1" applyFill="1" applyAlignment="1">
      <alignment horizontal="center"/>
    </xf>
    <xf numFmtId="0" fontId="2" fillId="9" borderId="0" xfId="0" applyFont="1" applyFill="1"/>
    <xf numFmtId="1" fontId="2" fillId="0" borderId="0" xfId="0" applyNumberFormat="1" applyFont="1" applyFill="1" applyAlignment="1">
      <alignment horizontal="center" vertical="center"/>
    </xf>
    <xf numFmtId="2" fontId="2" fillId="0" borderId="0" xfId="0" applyNumberFormat="1" applyFont="1"/>
    <xf numFmtId="2" fontId="4" fillId="2" borderId="0" xfId="0" applyNumberFormat="1" applyFont="1" applyFill="1" applyAlignment="1">
      <alignment horizontal="left"/>
    </xf>
    <xf numFmtId="2" fontId="2" fillId="2" borderId="0" xfId="0" applyNumberFormat="1" applyFont="1" applyFill="1"/>
    <xf numFmtId="1" fontId="2" fillId="0" borderId="0" xfId="0" applyNumberFormat="1" applyFont="1" applyFill="1" applyAlignment="1">
      <alignment horizontal="center"/>
    </xf>
    <xf numFmtId="2" fontId="2" fillId="0" borderId="0" xfId="0" applyNumberFormat="1" applyFont="1" applyFill="1" applyAlignment="1">
      <alignment horizontal="center"/>
    </xf>
    <xf numFmtId="1" fontId="2" fillId="3" borderId="0" xfId="0" applyNumberFormat="1" applyFont="1" applyFill="1" applyAlignment="1">
      <alignment horizontal="center"/>
    </xf>
    <xf numFmtId="1" fontId="4" fillId="0" borderId="0" xfId="0" applyNumberFormat="1" applyFont="1" applyFill="1"/>
    <xf numFmtId="164" fontId="2" fillId="2" borderId="0" xfId="0" applyNumberFormat="1" applyFont="1" applyFill="1"/>
    <xf numFmtId="165" fontId="2" fillId="0" borderId="0" xfId="0" applyNumberFormat="1" applyFont="1" applyAlignment="1">
      <alignment horizontal="center"/>
    </xf>
    <xf numFmtId="2" fontId="2" fillId="0" borderId="0" xfId="0" applyNumberFormat="1" applyFont="1" applyAlignment="1">
      <alignment horizontal="center"/>
    </xf>
    <xf numFmtId="2" fontId="2" fillId="0" borderId="0" xfId="0" applyNumberFormat="1" applyFont="1" applyAlignment="1">
      <alignment horizontal="center" vertical="center"/>
    </xf>
    <xf numFmtId="166" fontId="2" fillId="0" borderId="0" xfId="0" applyNumberFormat="1" applyFont="1" applyAlignment="1">
      <alignment horizontal="center" vertical="center"/>
    </xf>
    <xf numFmtId="167" fontId="2" fillId="3" borderId="0" xfId="0" applyNumberFormat="1" applyFont="1" applyFill="1" applyAlignment="1">
      <alignment horizontal="center"/>
    </xf>
    <xf numFmtId="167" fontId="2" fillId="0" borderId="0" xfId="0" applyNumberFormat="1" applyFont="1" applyAlignment="1">
      <alignment horizontal="center"/>
    </xf>
    <xf numFmtId="164" fontId="2" fillId="0" borderId="0" xfId="0" applyNumberFormat="1" applyFont="1" applyAlignment="1">
      <alignment horizontal="center"/>
    </xf>
    <xf numFmtId="1" fontId="2" fillId="0" borderId="0" xfId="0" applyNumberFormat="1" applyFont="1" applyAlignment="1">
      <alignment horizontal="center" vertical="center"/>
    </xf>
    <xf numFmtId="167" fontId="2" fillId="0" borderId="0" xfId="0" applyNumberFormat="1" applyFont="1" applyAlignment="1">
      <alignment horizontal="center" vertical="center"/>
    </xf>
    <xf numFmtId="166" fontId="2" fillId="0" borderId="0" xfId="0" applyNumberFormat="1" applyFont="1" applyFill="1" applyAlignment="1">
      <alignment horizontal="center"/>
    </xf>
    <xf numFmtId="0" fontId="0" fillId="0" borderId="0" xfId="0" applyAlignment="1">
      <alignment horizontal="center"/>
    </xf>
    <xf numFmtId="0" fontId="2" fillId="0" borderId="0" xfId="0" applyFont="1" applyAlignment="1">
      <alignment vertical="center"/>
    </xf>
    <xf numFmtId="166" fontId="2" fillId="0" borderId="0" xfId="0" applyNumberFormat="1" applyFont="1"/>
    <xf numFmtId="166" fontId="2" fillId="2" borderId="0" xfId="0" applyNumberFormat="1" applyFont="1" applyFill="1"/>
    <xf numFmtId="166" fontId="2" fillId="0" borderId="0" xfId="0" applyNumberFormat="1" applyFont="1" applyAlignment="1">
      <alignment horizontal="center"/>
    </xf>
    <xf numFmtId="11" fontId="2" fillId="8" borderId="0" xfId="0" applyNumberFormat="1" applyFont="1" applyFill="1"/>
    <xf numFmtId="11" fontId="2" fillId="8" borderId="0" xfId="0" applyNumberFormat="1" applyFont="1" applyFill="1" applyAlignment="1">
      <alignment horizontal="center"/>
    </xf>
    <xf numFmtId="164" fontId="2" fillId="0" borderId="0" xfId="0" applyNumberFormat="1" applyFont="1" applyFill="1" applyAlignment="1">
      <alignment horizontal="center"/>
    </xf>
    <xf numFmtId="0" fontId="2" fillId="7" borderId="0" xfId="0" applyFont="1" applyFill="1" applyAlignment="1">
      <alignment vertical="center"/>
    </xf>
    <xf numFmtId="167" fontId="2" fillId="0" borderId="0" xfId="0" applyNumberFormat="1" applyFont="1" applyFill="1" applyAlignment="1">
      <alignment horizontal="center"/>
    </xf>
    <xf numFmtId="1" fontId="4" fillId="0" borderId="0" xfId="0" applyNumberFormat="1" applyFont="1" applyAlignment="1">
      <alignment horizontal="center"/>
    </xf>
    <xf numFmtId="11" fontId="2" fillId="0" borderId="0" xfId="0" applyNumberFormat="1" applyFont="1" applyAlignment="1">
      <alignment horizontal="center"/>
    </xf>
    <xf numFmtId="11" fontId="2" fillId="0" borderId="0" xfId="0" applyNumberFormat="1" applyFont="1" applyFill="1" applyAlignment="1">
      <alignment horizontal="center"/>
    </xf>
    <xf numFmtId="11" fontId="4" fillId="2" borderId="0" xfId="0" applyNumberFormat="1" applyFont="1" applyFill="1" applyAlignment="1">
      <alignment horizontal="left"/>
    </xf>
    <xf numFmtId="11" fontId="2" fillId="2" borderId="0" xfId="0" applyNumberFormat="1" applyFont="1" applyFill="1"/>
    <xf numFmtId="0" fontId="4" fillId="10" borderId="0" xfId="0" applyFont="1" applyFill="1" applyAlignment="1">
      <alignment horizontal="center"/>
    </xf>
    <xf numFmtId="0" fontId="9" fillId="0" borderId="0" xfId="0" applyFont="1" applyAlignment="1">
      <alignment horizontal="center" vertical="center"/>
    </xf>
    <xf numFmtId="0" fontId="9" fillId="0" borderId="0" xfId="0" applyFont="1"/>
    <xf numFmtId="167" fontId="8" fillId="0" borderId="0" xfId="0" applyNumberFormat="1" applyFont="1" applyAlignment="1">
      <alignment horizontal="center" vertical="center"/>
    </xf>
    <xf numFmtId="0" fontId="10" fillId="0" borderId="0" xfId="0" applyFont="1" applyAlignment="1">
      <alignment horizontal="center"/>
    </xf>
    <xf numFmtId="0" fontId="10" fillId="0" borderId="0" xfId="0" applyFont="1"/>
    <xf numFmtId="0" fontId="12" fillId="0" borderId="0" xfId="0" applyFont="1" applyAlignment="1">
      <alignment horizontal="center"/>
    </xf>
    <xf numFmtId="164" fontId="9" fillId="0" borderId="0" xfId="0" applyNumberFormat="1" applyFont="1" applyFill="1" applyAlignment="1">
      <alignment horizontal="left"/>
    </xf>
    <xf numFmtId="0" fontId="11" fillId="0" borderId="0" xfId="0" applyFont="1" applyFill="1" applyAlignment="1"/>
    <xf numFmtId="0" fontId="13" fillId="0" borderId="0" xfId="0" applyFont="1"/>
    <xf numFmtId="0" fontId="14" fillId="0" borderId="0" xfId="0" applyFont="1"/>
    <xf numFmtId="0" fontId="11" fillId="0" borderId="0" xfId="0" applyFont="1" applyFill="1"/>
    <xf numFmtId="0" fontId="8" fillId="0" borderId="0" xfId="0" applyFont="1" applyFill="1"/>
    <xf numFmtId="0" fontId="8" fillId="0" borderId="0" xfId="0" applyFont="1"/>
    <xf numFmtId="0" fontId="2" fillId="15" borderId="0" xfId="0" applyFont="1" applyFill="1" applyAlignment="1">
      <alignment horizontal="center"/>
    </xf>
    <xf numFmtId="11" fontId="2" fillId="16" borderId="0" xfId="0" applyNumberFormat="1" applyFont="1" applyFill="1"/>
    <xf numFmtId="11" fontId="2" fillId="16" borderId="0" xfId="0" applyNumberFormat="1" applyFont="1" applyFill="1" applyAlignment="1">
      <alignment horizontal="center"/>
    </xf>
    <xf numFmtId="11" fontId="8" fillId="16" borderId="0" xfId="0" applyNumberFormat="1" applyFont="1" applyFill="1"/>
    <xf numFmtId="11" fontId="2" fillId="12" borderId="0" xfId="0" applyNumberFormat="1" applyFont="1" applyFill="1"/>
    <xf numFmtId="167" fontId="8" fillId="3" borderId="0" xfId="0" applyNumberFormat="1" applyFont="1" applyFill="1" applyAlignment="1">
      <alignment horizontal="center"/>
    </xf>
    <xf numFmtId="0" fontId="14" fillId="0" borderId="0" xfId="0" applyFont="1" applyAlignment="1">
      <alignment horizontal="left" vertical="center"/>
    </xf>
    <xf numFmtId="11" fontId="8" fillId="16" borderId="0" xfId="0" applyNumberFormat="1" applyFont="1" applyFill="1" applyAlignment="1">
      <alignment horizontal="center"/>
    </xf>
    <xf numFmtId="0" fontId="8" fillId="12" borderId="0" xfId="0" applyFont="1" applyFill="1" applyAlignment="1">
      <alignment horizontal="center"/>
    </xf>
    <xf numFmtId="11" fontId="2" fillId="12" borderId="0" xfId="0" applyNumberFormat="1" applyFont="1" applyFill="1" applyAlignment="1">
      <alignment horizontal="center"/>
    </xf>
    <xf numFmtId="2" fontId="8" fillId="5" borderId="0" xfId="0" applyNumberFormat="1" applyFont="1" applyFill="1"/>
    <xf numFmtId="2" fontId="2" fillId="5" borderId="0" xfId="0" applyNumberFormat="1" applyFont="1" applyFill="1"/>
    <xf numFmtId="0" fontId="2" fillId="0" borderId="0" xfId="0" applyFont="1" applyAlignment="1">
      <alignment horizontal="left" vertical="center"/>
    </xf>
    <xf numFmtId="0" fontId="9" fillId="0" borderId="0" xfId="0" applyFont="1" applyAlignment="1"/>
    <xf numFmtId="11" fontId="2" fillId="3" borderId="0" xfId="0" applyNumberFormat="1" applyFont="1" applyFill="1" applyAlignment="1">
      <alignment horizontal="center"/>
    </xf>
    <xf numFmtId="0" fontId="8" fillId="0" borderId="0" xfId="0" applyFont="1" applyFill="1" applyAlignment="1">
      <alignment horizontal="center"/>
    </xf>
    <xf numFmtId="11" fontId="2" fillId="0" borderId="0" xfId="0" applyNumberFormat="1" applyFont="1" applyFill="1"/>
    <xf numFmtId="11" fontId="15" fillId="0" borderId="0" xfId="0" applyNumberFormat="1" applyFont="1" applyFill="1"/>
    <xf numFmtId="0" fontId="8" fillId="0" borderId="0" xfId="0" applyFont="1" applyAlignment="1">
      <alignment horizontal="center"/>
    </xf>
    <xf numFmtId="11" fontId="8" fillId="0" borderId="0" xfId="0" applyNumberFormat="1" applyFont="1" applyFill="1" applyAlignment="1">
      <alignment horizontal="center"/>
    </xf>
    <xf numFmtId="168" fontId="8" fillId="0" borderId="0" xfId="0" applyNumberFormat="1" applyFont="1" applyAlignment="1">
      <alignment horizontal="center"/>
    </xf>
    <xf numFmtId="11" fontId="8" fillId="0" borderId="0" xfId="0" applyNumberFormat="1" applyFont="1" applyAlignment="1">
      <alignment horizontal="center"/>
    </xf>
    <xf numFmtId="0" fontId="8" fillId="0" borderId="0" xfId="0" quotePrefix="1" applyFont="1" applyAlignment="1">
      <alignment horizontal="center"/>
    </xf>
    <xf numFmtId="0" fontId="4" fillId="9" borderId="0" xfId="0" applyFont="1" applyFill="1" applyAlignment="1">
      <alignment horizontal="center"/>
    </xf>
    <xf numFmtId="0" fontId="16" fillId="9" borderId="0" xfId="0" applyFont="1" applyFill="1" applyAlignment="1">
      <alignment horizontal="center"/>
    </xf>
    <xf numFmtId="0" fontId="16" fillId="0" borderId="0" xfId="0" applyFont="1" applyAlignment="1">
      <alignment horizontal="center"/>
    </xf>
    <xf numFmtId="11" fontId="8" fillId="0" borderId="0" xfId="0" applyNumberFormat="1" applyFont="1" applyFill="1"/>
    <xf numFmtId="0" fontId="11" fillId="0" borderId="0" xfId="0" applyFont="1"/>
    <xf numFmtId="0" fontId="18" fillId="17" borderId="0" xfId="0" applyFont="1" applyFill="1"/>
    <xf numFmtId="0" fontId="4" fillId="2" borderId="3" xfId="0" applyFont="1" applyFill="1" applyBorder="1" applyAlignment="1">
      <alignment horizontal="center"/>
    </xf>
    <xf numFmtId="0" fontId="4" fillId="2" borderId="3" xfId="0" applyFont="1" applyFill="1" applyBorder="1" applyAlignment="1">
      <alignment horizontal="center" vertical="center"/>
    </xf>
    <xf numFmtId="0" fontId="8" fillId="2" borderId="3" xfId="0" applyFont="1" applyFill="1" applyBorder="1" applyAlignment="1">
      <alignment horizontal="center"/>
    </xf>
    <xf numFmtId="0" fontId="4" fillId="2" borderId="3" xfId="0" applyFont="1" applyFill="1" applyBorder="1" applyAlignment="1">
      <alignment horizontal="left"/>
    </xf>
    <xf numFmtId="0" fontId="2" fillId="2" borderId="3" xfId="0" applyFont="1" applyFill="1" applyBorder="1" applyAlignment="1">
      <alignment horizontal="center" vertical="center"/>
    </xf>
    <xf numFmtId="0" fontId="2" fillId="2" borderId="3" xfId="0" applyFont="1" applyFill="1" applyBorder="1" applyAlignment="1">
      <alignment horizontal="center"/>
    </xf>
    <xf numFmtId="0" fontId="2" fillId="2" borderId="3" xfId="0" applyFont="1" applyFill="1" applyBorder="1"/>
    <xf numFmtId="0" fontId="4" fillId="2" borderId="3" xfId="0" applyFont="1" applyFill="1" applyBorder="1"/>
    <xf numFmtId="0" fontId="2" fillId="9" borderId="3" xfId="0" applyFont="1" applyFill="1" applyBorder="1"/>
    <xf numFmtId="0" fontId="2" fillId="0" borderId="3" xfId="0" applyFont="1" applyBorder="1" applyAlignment="1">
      <alignment horizontal="center"/>
    </xf>
    <xf numFmtId="0" fontId="2" fillId="0" borderId="3" xfId="0" applyFont="1" applyBorder="1"/>
    <xf numFmtId="0" fontId="2" fillId="18" borderId="0" xfId="0" applyFont="1" applyFill="1" applyAlignment="1">
      <alignment horizontal="center"/>
    </xf>
    <xf numFmtId="1" fontId="2" fillId="18" borderId="0" xfId="0" applyNumberFormat="1" applyFont="1" applyFill="1" applyAlignment="1">
      <alignment horizontal="center"/>
    </xf>
    <xf numFmtId="2" fontId="2" fillId="18" borderId="0" xfId="0" applyNumberFormat="1" applyFont="1" applyFill="1" applyAlignment="1">
      <alignment horizontal="center"/>
    </xf>
    <xf numFmtId="2" fontId="2" fillId="18" borderId="0" xfId="0" applyNumberFormat="1" applyFont="1" applyFill="1" applyAlignment="1">
      <alignment horizontal="center" vertical="center"/>
    </xf>
    <xf numFmtId="166" fontId="2" fillId="18" borderId="0" xfId="0" applyNumberFormat="1" applyFont="1" applyFill="1" applyAlignment="1">
      <alignment horizontal="center" vertical="center"/>
    </xf>
    <xf numFmtId="167" fontId="2" fillId="18" borderId="0" xfId="0" applyNumberFormat="1" applyFont="1" applyFill="1" applyAlignment="1">
      <alignment horizontal="center"/>
    </xf>
    <xf numFmtId="164" fontId="2" fillId="18" borderId="0" xfId="0" applyNumberFormat="1" applyFont="1" applyFill="1" applyAlignment="1">
      <alignment horizontal="center"/>
    </xf>
    <xf numFmtId="1" fontId="2" fillId="18" borderId="0" xfId="0" applyNumberFormat="1" applyFont="1" applyFill="1" applyAlignment="1">
      <alignment horizontal="center" vertical="center"/>
    </xf>
    <xf numFmtId="167" fontId="2" fillId="18" borderId="0" xfId="0" applyNumberFormat="1" applyFont="1" applyFill="1" applyAlignment="1">
      <alignment horizontal="center" vertical="center"/>
    </xf>
    <xf numFmtId="1" fontId="2" fillId="19" borderId="0" xfId="0" applyNumberFormat="1" applyFont="1" applyFill="1" applyAlignment="1">
      <alignment horizontal="center"/>
    </xf>
    <xf numFmtId="164" fontId="2" fillId="19" borderId="0" xfId="0" applyNumberFormat="1" applyFont="1" applyFill="1" applyAlignment="1">
      <alignment horizontal="center" vertical="center"/>
    </xf>
    <xf numFmtId="1" fontId="2" fillId="19" borderId="0" xfId="0" applyNumberFormat="1" applyFont="1" applyFill="1" applyAlignment="1">
      <alignment horizontal="center" vertical="center"/>
    </xf>
    <xf numFmtId="167" fontId="2" fillId="19" borderId="0" xfId="0" applyNumberFormat="1" applyFont="1" applyFill="1" applyAlignment="1">
      <alignment horizontal="center" vertical="center"/>
    </xf>
    <xf numFmtId="2" fontId="2" fillId="19" borderId="0" xfId="0" applyNumberFormat="1" applyFont="1" applyFill="1" applyAlignment="1">
      <alignment horizontal="center"/>
    </xf>
    <xf numFmtId="0" fontId="2" fillId="19" borderId="0" xfId="0" applyFont="1" applyFill="1" applyAlignment="1">
      <alignment horizontal="center"/>
    </xf>
    <xf numFmtId="2" fontId="2" fillId="19" borderId="0" xfId="0" applyNumberFormat="1" applyFont="1" applyFill="1" applyAlignment="1">
      <alignment horizontal="center" vertical="center"/>
    </xf>
    <xf numFmtId="166" fontId="2" fillId="19" borderId="0" xfId="0" applyNumberFormat="1" applyFont="1" applyFill="1" applyAlignment="1">
      <alignment horizontal="center" vertical="center"/>
    </xf>
    <xf numFmtId="167" fontId="2" fillId="19" borderId="0" xfId="0" applyNumberFormat="1" applyFont="1" applyFill="1" applyAlignment="1">
      <alignment horizontal="center"/>
    </xf>
    <xf numFmtId="164" fontId="2" fillId="19" borderId="0" xfId="0" applyNumberFormat="1" applyFont="1" applyFill="1" applyAlignment="1">
      <alignment horizontal="center"/>
    </xf>
    <xf numFmtId="1" fontId="4" fillId="19" borderId="0" xfId="0" applyNumberFormat="1" applyFont="1" applyFill="1" applyAlignment="1">
      <alignment horizontal="center"/>
    </xf>
    <xf numFmtId="0" fontId="8" fillId="19" borderId="0" xfId="0" applyFont="1" applyFill="1" applyAlignment="1">
      <alignment horizontal="center"/>
    </xf>
    <xf numFmtId="0" fontId="2" fillId="19" borderId="0" xfId="0" applyFont="1" applyFill="1"/>
    <xf numFmtId="166" fontId="2" fillId="19" borderId="0" xfId="0" applyNumberFormat="1" applyFont="1" applyFill="1" applyAlignment="1">
      <alignment horizontal="center"/>
    </xf>
    <xf numFmtId="1" fontId="2" fillId="19" borderId="0" xfId="0" applyNumberFormat="1" applyFont="1" applyFill="1"/>
    <xf numFmtId="164" fontId="2" fillId="0" borderId="0" xfId="0" applyNumberFormat="1" applyFont="1" applyFill="1" applyAlignment="1">
      <alignment horizontal="center" vertical="center"/>
    </xf>
    <xf numFmtId="0" fontId="20" fillId="0" borderId="0" xfId="1"/>
    <xf numFmtId="0" fontId="0" fillId="0" borderId="0" xfId="0"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left" vertical="center" wrapText="1"/>
    </xf>
    <xf numFmtId="0" fontId="27"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horizontal="left" vertical="center" wrapText="1"/>
    </xf>
    <xf numFmtId="0" fontId="20" fillId="0" borderId="0" xfId="1" applyAlignment="1">
      <alignment horizontal="left" vertical="center" wrapText="1"/>
    </xf>
    <xf numFmtId="0" fontId="31" fillId="0" borderId="0" xfId="0" applyFont="1"/>
    <xf numFmtId="0" fontId="19" fillId="0" borderId="0" xfId="0" applyFont="1" applyBorder="1" applyAlignment="1">
      <alignment horizontal="left"/>
    </xf>
    <xf numFmtId="0" fontId="4" fillId="0" borderId="0" xfId="0" applyFont="1" applyAlignment="1">
      <alignment horizontal="center" vertical="center"/>
    </xf>
    <xf numFmtId="0" fontId="11" fillId="13" borderId="0" xfId="0" applyFont="1" applyFill="1" applyAlignment="1">
      <alignment horizontal="center"/>
    </xf>
    <xf numFmtId="0" fontId="4" fillId="14" borderId="0" xfId="0" applyFont="1" applyFill="1" applyAlignment="1">
      <alignment horizontal="center"/>
    </xf>
    <xf numFmtId="0" fontId="4" fillId="11" borderId="0" xfId="0" applyFont="1" applyFill="1" applyAlignment="1">
      <alignment horizontal="center"/>
    </xf>
    <xf numFmtId="0" fontId="4" fillId="0" borderId="0" xfId="0" applyFont="1" applyAlignment="1">
      <alignment horizontal="center" vertical="top" wrapText="1"/>
    </xf>
    <xf numFmtId="0" fontId="17" fillId="2" borderId="1" xfId="0" applyFont="1" applyFill="1" applyBorder="1" applyAlignment="1">
      <alignment horizontal="center"/>
    </xf>
    <xf numFmtId="0" fontId="2"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xf>
    <xf numFmtId="0" fontId="17" fillId="2" borderId="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66"/>
      <color rgb="FFADDB7B"/>
      <color rgb="FFCCFF33"/>
      <color rgb="FF00B0F0"/>
      <color rgb="FFEAEBF6"/>
      <color rgb="FFDDDFF1"/>
      <color rgb="FF8CA7E4"/>
      <color rgb="FFFFFF99"/>
      <color rgb="FFFF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83820</xdr:rowOff>
    </xdr:from>
    <xdr:to>
      <xdr:col>6</xdr:col>
      <xdr:colOff>0</xdr:colOff>
      <xdr:row>0</xdr:row>
      <xdr:rowOff>83820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6644640" y="83820"/>
          <a:ext cx="579120" cy="0"/>
        </a:xfrm>
        <a:prstGeom prst="straightConnector1">
          <a:avLst/>
        </a:prstGeom>
        <a:ln w="38100">
          <a:solidFill>
            <a:schemeClr val="bg1">
              <a:lumMod val="75000"/>
            </a:schemeClr>
          </a:solidFill>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ndres@virginia.edu" TargetMode="External"/><Relationship Id="rId1" Type="http://schemas.openxmlformats.org/officeDocument/2006/relationships/hyperlink" Target="http://pubs.acs.org/doi/abs/10.1021/acs.est.6b029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heetViews>
  <sheetFormatPr defaultRowHeight="15" x14ac:dyDescent="0.25"/>
  <cols>
    <col min="1" max="3" width="36.7109375" customWidth="1"/>
  </cols>
  <sheetData>
    <row r="1" spans="1:3" x14ac:dyDescent="0.25">
      <c r="A1" s="6" t="s">
        <v>25</v>
      </c>
    </row>
    <row r="3" spans="1:3" x14ac:dyDescent="0.25">
      <c r="A3" s="5" t="s">
        <v>26</v>
      </c>
      <c r="B3" s="5" t="s">
        <v>27</v>
      </c>
      <c r="C3">
        <v>0</v>
      </c>
    </row>
    <row r="4" spans="1:3" x14ac:dyDescent="0.25">
      <c r="A4" s="5" t="s">
        <v>28</v>
      </c>
    </row>
    <row r="5" spans="1:3" x14ac:dyDescent="0.25">
      <c r="A5" s="5" t="s">
        <v>29</v>
      </c>
    </row>
    <row r="7" spans="1:3" x14ac:dyDescent="0.25">
      <c r="A7" s="6" t="s">
        <v>30</v>
      </c>
      <c r="B7" s="5" t="s">
        <v>31</v>
      </c>
    </row>
    <row r="8" spans="1:3" x14ac:dyDescent="0.25">
      <c r="B8">
        <v>2</v>
      </c>
    </row>
    <row r="10" spans="1:3" x14ac:dyDescent="0.25">
      <c r="A10" s="5" t="s">
        <v>32</v>
      </c>
    </row>
    <row r="11" spans="1:3" x14ac:dyDescent="0.25">
      <c r="A11" t="e">
        <f>CB_DATA_!#REF!</f>
        <v>#REF!</v>
      </c>
      <c r="B11" t="e">
        <f>'LCA Model'!#REF!</f>
        <v>#REF!</v>
      </c>
    </row>
    <row r="13" spans="1:3" x14ac:dyDescent="0.25">
      <c r="A13" s="5" t="s">
        <v>33</v>
      </c>
    </row>
    <row r="14" spans="1:3" x14ac:dyDescent="0.25">
      <c r="A14" s="5" t="s">
        <v>37</v>
      </c>
      <c r="B14" s="5" t="s">
        <v>40</v>
      </c>
    </row>
    <row r="16" spans="1:3" x14ac:dyDescent="0.25">
      <c r="A16" s="5" t="s">
        <v>34</v>
      </c>
    </row>
    <row r="19" spans="1:2" x14ac:dyDescent="0.25">
      <c r="A19" s="5" t="s">
        <v>35</v>
      </c>
    </row>
    <row r="20" spans="1:2" x14ac:dyDescent="0.25">
      <c r="A20">
        <v>28</v>
      </c>
      <c r="B20">
        <v>37</v>
      </c>
    </row>
    <row r="25" spans="1:2" x14ac:dyDescent="0.25">
      <c r="A25" s="6" t="s">
        <v>36</v>
      </c>
    </row>
    <row r="26" spans="1:2" x14ac:dyDescent="0.25">
      <c r="A26" s="4" t="s">
        <v>38</v>
      </c>
      <c r="B26" s="4" t="s">
        <v>169</v>
      </c>
    </row>
    <row r="27" spans="1:2" x14ac:dyDescent="0.25">
      <c r="A27" s="15" t="s">
        <v>42</v>
      </c>
      <c r="B27" s="15" t="s">
        <v>326</v>
      </c>
    </row>
    <row r="28" spans="1:2" x14ac:dyDescent="0.25">
      <c r="A28" s="4" t="s">
        <v>39</v>
      </c>
      <c r="B28" s="4" t="s">
        <v>39</v>
      </c>
    </row>
    <row r="29" spans="1:2" x14ac:dyDescent="0.25">
      <c r="B29" s="4" t="s">
        <v>38</v>
      </c>
    </row>
    <row r="30" spans="1:2" x14ac:dyDescent="0.25">
      <c r="B30" s="15" t="s">
        <v>220</v>
      </c>
    </row>
    <row r="31" spans="1:2" x14ac:dyDescent="0.25">
      <c r="B31" s="4" t="s">
        <v>39</v>
      </c>
    </row>
    <row r="32" spans="1:2" x14ac:dyDescent="0.25">
      <c r="B32" s="4" t="s">
        <v>86</v>
      </c>
    </row>
    <row r="33" spans="2:2" x14ac:dyDescent="0.25">
      <c r="B33" s="15" t="s">
        <v>327</v>
      </c>
    </row>
    <row r="34" spans="2:2" x14ac:dyDescent="0.25">
      <c r="B34" s="4" t="s">
        <v>39</v>
      </c>
    </row>
    <row r="35" spans="2:2" x14ac:dyDescent="0.25">
      <c r="B35" s="4" t="s">
        <v>41</v>
      </c>
    </row>
    <row r="36" spans="2:2" x14ac:dyDescent="0.25">
      <c r="B36" s="15" t="s">
        <v>328</v>
      </c>
    </row>
    <row r="37" spans="2:2" x14ac:dyDescent="0.25">
      <c r="B37" s="4"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32"/>
  <sheetViews>
    <sheetView tabSelected="1" zoomScaleNormal="100" workbookViewId="0">
      <pane ySplit="1" topLeftCell="A55" activePane="bottomLeft" state="frozen"/>
      <selection pane="bottomLeft" activeCell="C78" sqref="C78"/>
    </sheetView>
  </sheetViews>
  <sheetFormatPr defaultRowHeight="12.75" x14ac:dyDescent="0.2"/>
  <cols>
    <col min="1" max="1" width="54.7109375" style="1" customWidth="1"/>
    <col min="2" max="2" width="10.85546875" style="113" customWidth="1"/>
    <col min="3" max="3" width="10.42578125" style="2" customWidth="1"/>
    <col min="4" max="4" width="12.140625" style="2" hidden="1" customWidth="1"/>
    <col min="5" max="5" width="11.5703125" style="1" hidden="1" customWidth="1"/>
    <col min="6" max="6" width="8.7109375" style="1" customWidth="1"/>
    <col min="7" max="7" width="35.42578125" style="1" customWidth="1"/>
    <col min="8" max="8" width="10.7109375" style="1" customWidth="1"/>
    <col min="9" max="9" width="7.28515625" style="1" customWidth="1"/>
    <col min="10" max="10" width="11.5703125" style="1" customWidth="1"/>
    <col min="11" max="14" width="8.5703125" style="1" customWidth="1"/>
    <col min="15" max="15" width="10.42578125" style="1" customWidth="1"/>
    <col min="16" max="16" width="30.140625" style="2" customWidth="1"/>
    <col min="17" max="17" width="11.42578125" style="2" customWidth="1"/>
    <col min="18" max="18" width="19.5703125" style="2" customWidth="1"/>
    <col min="19" max="19" width="18.7109375" style="2" customWidth="1"/>
    <col min="20" max="20" width="18" style="2" customWidth="1"/>
    <col min="21" max="16384" width="9.140625" style="1"/>
  </cols>
  <sheetData>
    <row r="1" spans="1:20" ht="12.75" customHeight="1" x14ac:dyDescent="0.25">
      <c r="A1" s="97" t="s">
        <v>0</v>
      </c>
      <c r="B1" s="103" t="s">
        <v>1</v>
      </c>
      <c r="C1" s="98" t="s">
        <v>43</v>
      </c>
      <c r="D1" s="99" t="s">
        <v>285</v>
      </c>
      <c r="E1" s="99" t="s">
        <v>322</v>
      </c>
      <c r="G1" s="149" t="s">
        <v>332</v>
      </c>
      <c r="H1" s="149"/>
      <c r="I1" s="149"/>
      <c r="J1" s="149"/>
      <c r="K1" s="149"/>
      <c r="L1" s="149"/>
      <c r="M1" s="149"/>
      <c r="N1" s="149"/>
    </row>
    <row r="2" spans="1:20" ht="15.75" x14ac:dyDescent="0.25">
      <c r="A2" s="16" t="s">
        <v>97</v>
      </c>
      <c r="B2" s="104"/>
      <c r="C2" s="16"/>
      <c r="D2" s="16"/>
      <c r="E2" s="16"/>
      <c r="G2" s="155" t="s">
        <v>330</v>
      </c>
      <c r="H2" s="155"/>
      <c r="I2" s="155"/>
      <c r="J2" s="155"/>
      <c r="K2" s="155"/>
      <c r="L2" s="155"/>
      <c r="M2" s="155"/>
      <c r="N2" s="155"/>
      <c r="P2" s="154"/>
      <c r="Q2" s="154"/>
      <c r="R2" s="154"/>
      <c r="S2" s="154"/>
      <c r="T2" s="154"/>
    </row>
    <row r="3" spans="1:20" x14ac:dyDescent="0.2">
      <c r="A3" s="72" t="s">
        <v>318</v>
      </c>
      <c r="B3" s="105" t="s">
        <v>45</v>
      </c>
      <c r="C3" s="63">
        <v>997.05</v>
      </c>
      <c r="D3" s="63">
        <v>1031.8</v>
      </c>
      <c r="E3" s="63">
        <v>1031.8</v>
      </c>
      <c r="G3" s="150" t="s">
        <v>72</v>
      </c>
      <c r="H3" s="151" t="s">
        <v>73</v>
      </c>
      <c r="I3" s="151"/>
      <c r="J3" s="152" t="s">
        <v>74</v>
      </c>
      <c r="K3" s="152"/>
      <c r="L3" s="153" t="s">
        <v>317</v>
      </c>
      <c r="M3" s="153"/>
      <c r="N3" s="153"/>
      <c r="P3" s="60"/>
      <c r="Q3" s="60"/>
      <c r="R3" s="60"/>
      <c r="S3" s="60"/>
      <c r="T3" s="60"/>
    </row>
    <row r="4" spans="1:20" x14ac:dyDescent="0.2">
      <c r="A4" s="72" t="s">
        <v>319</v>
      </c>
      <c r="B4" s="105" t="s">
        <v>45</v>
      </c>
      <c r="C4" s="63">
        <v>983.31</v>
      </c>
      <c r="D4" s="63">
        <v>435.89</v>
      </c>
      <c r="E4" s="63">
        <v>435.89</v>
      </c>
      <c r="G4" s="150"/>
      <c r="H4" s="74" t="s">
        <v>160</v>
      </c>
      <c r="I4" s="2" t="s">
        <v>168</v>
      </c>
      <c r="J4" s="24" t="s">
        <v>161</v>
      </c>
      <c r="K4" s="2" t="s">
        <v>168</v>
      </c>
      <c r="L4" s="89" t="s">
        <v>311</v>
      </c>
      <c r="M4" s="82" t="s">
        <v>323</v>
      </c>
      <c r="N4" s="2" t="s">
        <v>168</v>
      </c>
      <c r="P4" s="7"/>
      <c r="Q4" s="7"/>
      <c r="R4" s="30"/>
      <c r="S4" s="30"/>
      <c r="T4" s="30"/>
    </row>
    <row r="5" spans="1:20" x14ac:dyDescent="0.2">
      <c r="A5" s="72" t="s">
        <v>119</v>
      </c>
      <c r="B5" s="105" t="s">
        <v>117</v>
      </c>
      <c r="C5" s="93">
        <v>8.8999999999999995E-4</v>
      </c>
      <c r="D5" s="93">
        <v>1.394E-4</v>
      </c>
      <c r="E5" s="93">
        <v>1.394E-4</v>
      </c>
      <c r="G5" s="11" t="s">
        <v>229</v>
      </c>
      <c r="H5" s="17"/>
      <c r="I5" s="17"/>
      <c r="J5" s="17"/>
      <c r="K5" s="17"/>
      <c r="L5" s="17"/>
      <c r="M5" s="17"/>
      <c r="N5" s="17"/>
      <c r="P5" s="7"/>
      <c r="Q5" s="7"/>
      <c r="R5" s="7"/>
      <c r="S5" s="30"/>
      <c r="T5" s="30"/>
    </row>
    <row r="6" spans="1:20" x14ac:dyDescent="0.2">
      <c r="A6" s="73" t="s">
        <v>118</v>
      </c>
      <c r="B6" s="105" t="s">
        <v>117</v>
      </c>
      <c r="C6" s="94">
        <v>3.8279999999999998E-4</v>
      </c>
      <c r="D6" s="95">
        <v>3.2799999999999998E-5</v>
      </c>
      <c r="E6" s="95">
        <v>3.2799999999999998E-5</v>
      </c>
      <c r="G6" s="1" t="s">
        <v>90</v>
      </c>
      <c r="H6" s="75">
        <f>(C24*(C213+C214))/C204</f>
        <v>0.11562100523766847</v>
      </c>
      <c r="I6" s="27">
        <f t="shared" ref="I6:I11" si="0">H6/$H$27*100</f>
        <v>7.9890756144680548</v>
      </c>
      <c r="J6" s="50">
        <f>(C24*(D213+D214))/C204</f>
        <v>3.9029632604562097E-3</v>
      </c>
      <c r="K6" s="27">
        <f t="shared" ref="K6:K11" si="1">J6/$J$27*100</f>
        <v>7.0989164048799829</v>
      </c>
      <c r="L6" s="90">
        <f>((E213+E214)*C24)/C204</f>
        <v>2.0893004331986655E-5</v>
      </c>
      <c r="M6" s="78">
        <f>1000*L6</f>
        <v>2.0893004331986653E-2</v>
      </c>
      <c r="N6" s="27">
        <f>M6/$M$27*100</f>
        <v>0.8250336981287768</v>
      </c>
      <c r="P6" s="7"/>
      <c r="Q6" s="7"/>
      <c r="R6" s="54"/>
      <c r="S6" s="7"/>
      <c r="T6" s="7"/>
    </row>
    <row r="7" spans="1:20" x14ac:dyDescent="0.2">
      <c r="A7" s="73" t="s">
        <v>177</v>
      </c>
      <c r="B7" s="105" t="s">
        <v>52</v>
      </c>
      <c r="C7" s="92">
        <v>65</v>
      </c>
      <c r="D7" s="96" t="s">
        <v>178</v>
      </c>
      <c r="E7" s="96" t="s">
        <v>178</v>
      </c>
      <c r="G7" s="1" t="s">
        <v>89</v>
      </c>
      <c r="H7" s="75">
        <f>(C27*C217)/C204</f>
        <v>3.4249783937708549E-3</v>
      </c>
      <c r="I7" s="27">
        <f t="shared" si="0"/>
        <v>0.23665605838237633</v>
      </c>
      <c r="J7" s="50">
        <f>C27*D217/C204</f>
        <v>2.2382719466073418E-4</v>
      </c>
      <c r="K7" s="27">
        <f t="shared" si="1"/>
        <v>0.40710876275315599</v>
      </c>
      <c r="L7" s="90">
        <f>(E217*C27)/C204</f>
        <v>4.8566278086763061E-7</v>
      </c>
      <c r="M7" s="78">
        <f t="shared" ref="M7:M26" si="2">1000*L7</f>
        <v>4.8566278086763063E-4</v>
      </c>
      <c r="N7" s="27">
        <f t="shared" ref="N7:N26" si="3">M7/$M$27*100</f>
        <v>1.9178101616017174E-2</v>
      </c>
      <c r="P7" s="7"/>
      <c r="Q7" s="7"/>
      <c r="R7" s="7"/>
      <c r="S7" s="7"/>
      <c r="T7" s="30"/>
    </row>
    <row r="8" spans="1:20" x14ac:dyDescent="0.2">
      <c r="A8" s="73" t="s">
        <v>120</v>
      </c>
      <c r="B8" s="105" t="s">
        <v>2</v>
      </c>
      <c r="C8" s="92">
        <f>1.524*10^-6</f>
        <v>1.5239999999999999E-6</v>
      </c>
      <c r="D8" s="95">
        <f>1.524*10^-6</f>
        <v>1.5239999999999999E-6</v>
      </c>
      <c r="E8" s="92">
        <f>1.524*10^-6</f>
        <v>1.5239999999999999E-6</v>
      </c>
      <c r="G8" s="1" t="s">
        <v>99</v>
      </c>
      <c r="H8" s="75">
        <f>((C30*C28+4*C30*C26*C29)*1.1*1000*C218)/C204</f>
        <v>2.6176010454057336E-2</v>
      </c>
      <c r="I8" s="27">
        <f t="shared" si="0"/>
        <v>1.8086862882112351</v>
      </c>
      <c r="J8" s="50">
        <f>((C30*C28+4*C30*C26*C29)*1.1*1000*D218)/C204</f>
        <v>7.4548380950527251E-4</v>
      </c>
      <c r="K8" s="27">
        <f t="shared" si="1"/>
        <v>1.3559254575844553</v>
      </c>
      <c r="L8" s="90">
        <f>((C30*C28+4*C30*C26*C29)*1.1*1000*E218)/C204</f>
        <v>3.95162470452043E-6</v>
      </c>
      <c r="M8" s="78">
        <f t="shared" si="2"/>
        <v>3.9516247045204298E-3</v>
      </c>
      <c r="N8" s="27">
        <f t="shared" si="3"/>
        <v>0.15604378823567305</v>
      </c>
      <c r="O8" s="69"/>
      <c r="P8" s="7"/>
      <c r="Q8" s="7"/>
      <c r="R8" s="31"/>
      <c r="S8" s="31"/>
      <c r="T8" s="31"/>
    </row>
    <row r="9" spans="1:20" x14ac:dyDescent="0.2">
      <c r="A9" s="73" t="s">
        <v>121</v>
      </c>
      <c r="B9" s="105" t="s">
        <v>2</v>
      </c>
      <c r="C9" s="92">
        <v>4.5739999999999999E-5</v>
      </c>
      <c r="D9" s="95">
        <v>4.5739999999999999E-5</v>
      </c>
      <c r="E9" s="95">
        <v>4.5739999999999999E-5</v>
      </c>
      <c r="G9" s="1" t="s">
        <v>154</v>
      </c>
      <c r="H9" s="77">
        <f>(($C$38+$C$40)*(1+C216))/$C$204</f>
        <v>1.0107552713827421E-2</v>
      </c>
      <c r="I9" s="27">
        <f t="shared" si="0"/>
        <v>0.698402532844277</v>
      </c>
      <c r="J9" s="50">
        <f>(($C$38+$C$40)*(D216+D225))/$C$204</f>
        <v>3.7405063036030352E-4</v>
      </c>
      <c r="K9" s="27">
        <f t="shared" si="1"/>
        <v>0.68034310827975308</v>
      </c>
      <c r="L9" s="90">
        <f>((C38+C40)*E216)/C204</f>
        <v>6.0096213821649964E-7</v>
      </c>
      <c r="M9" s="78">
        <f t="shared" si="2"/>
        <v>6.0096213821649968E-4</v>
      </c>
      <c r="N9" s="27">
        <f t="shared" si="3"/>
        <v>2.3731101925301253E-2</v>
      </c>
      <c r="O9" s="69"/>
      <c r="P9" s="7"/>
      <c r="Q9" s="7"/>
      <c r="R9" s="31"/>
      <c r="S9" s="31"/>
      <c r="T9" s="31"/>
    </row>
    <row r="10" spans="1:20" x14ac:dyDescent="0.2">
      <c r="A10" s="73" t="s">
        <v>123</v>
      </c>
      <c r="B10" s="105" t="s">
        <v>10</v>
      </c>
      <c r="C10" s="92">
        <v>0.7</v>
      </c>
      <c r="D10" s="92">
        <v>0.7</v>
      </c>
      <c r="E10" s="92">
        <v>0.7</v>
      </c>
      <c r="G10" s="1" t="s">
        <v>217</v>
      </c>
      <c r="H10" s="75">
        <f>(C61*C223)/C204</f>
        <v>4.6606426565410163E-2</v>
      </c>
      <c r="I10" s="27">
        <f t="shared" si="0"/>
        <v>3.2203686967245653</v>
      </c>
      <c r="J10" s="50">
        <f>((C61*D223)+(D224*C60))/C204</f>
        <v>1.955816768428971E-3</v>
      </c>
      <c r="K10" s="27">
        <f t="shared" si="1"/>
        <v>3.5573431815284073</v>
      </c>
      <c r="L10" s="90">
        <f>(C61*E223)/C204</f>
        <v>2.1384892456707821E-6</v>
      </c>
      <c r="M10" s="78">
        <f t="shared" si="2"/>
        <v>2.1384892456707823E-3</v>
      </c>
      <c r="N10" s="27">
        <f t="shared" si="3"/>
        <v>8.4445762932391991E-2</v>
      </c>
      <c r="O10" s="69"/>
      <c r="R10" s="36"/>
      <c r="S10" s="36"/>
      <c r="T10" s="36"/>
    </row>
    <row r="11" spans="1:20" x14ac:dyDescent="0.2">
      <c r="A11" s="73" t="s">
        <v>124</v>
      </c>
      <c r="B11" s="105" t="s">
        <v>10</v>
      </c>
      <c r="C11" s="92">
        <v>0.9</v>
      </c>
      <c r="D11" s="92">
        <v>0.9</v>
      </c>
      <c r="E11" s="92">
        <v>0.9</v>
      </c>
      <c r="G11" s="1" t="s">
        <v>103</v>
      </c>
      <c r="H11" s="75">
        <f>(C67*C223)/C204</f>
        <v>1.8568124996806241E-3</v>
      </c>
      <c r="I11" s="27">
        <f t="shared" si="0"/>
        <v>0.12830035019454294</v>
      </c>
      <c r="J11" s="50">
        <f>(C67*D223+D224*C66)/C204</f>
        <v>7.7920263155277557E-5</v>
      </c>
      <c r="K11" s="27">
        <f t="shared" si="1"/>
        <v>0.14172550379603333</v>
      </c>
      <c r="L11" s="90">
        <f>(C67*E223)/C204</f>
        <v>8.5197983506014648E-8</v>
      </c>
      <c r="M11" s="78">
        <f t="shared" si="2"/>
        <v>8.5197983506014643E-5</v>
      </c>
      <c r="N11" s="27">
        <f t="shared" si="3"/>
        <v>3.3643417810174745E-3</v>
      </c>
    </row>
    <row r="12" spans="1:20" x14ac:dyDescent="0.2">
      <c r="A12" s="73" t="s">
        <v>173</v>
      </c>
      <c r="B12" s="105" t="s">
        <v>10</v>
      </c>
      <c r="C12" s="92">
        <v>0.9</v>
      </c>
      <c r="D12" s="92">
        <v>0.9</v>
      </c>
      <c r="E12" s="92">
        <v>0.9</v>
      </c>
      <c r="G12" s="20" t="s">
        <v>228</v>
      </c>
      <c r="H12" s="58"/>
      <c r="I12" s="28"/>
      <c r="J12" s="58"/>
      <c r="K12" s="28"/>
      <c r="L12" s="29"/>
      <c r="M12" s="58"/>
      <c r="N12" s="28"/>
    </row>
    <row r="13" spans="1:20" x14ac:dyDescent="0.2">
      <c r="A13" s="73" t="s">
        <v>179</v>
      </c>
      <c r="B13" s="105" t="s">
        <v>10</v>
      </c>
      <c r="C13" s="92">
        <f>0.9*0.45</f>
        <v>0.40500000000000003</v>
      </c>
      <c r="D13" s="92">
        <f>0.9*0.45</f>
        <v>0.40500000000000003</v>
      </c>
      <c r="E13" s="92">
        <f>0.9*0.45</f>
        <v>0.40500000000000003</v>
      </c>
      <c r="G13" s="9" t="s">
        <v>100</v>
      </c>
      <c r="H13" s="75">
        <f>(C81*C207+C83*C208+C85*C209+C87*C210+C89*C211)/C204</f>
        <v>5.7056801534889234E-2</v>
      </c>
      <c r="I13" s="27">
        <f>H13/$H$27*100</f>
        <v>3.9424592516293115</v>
      </c>
      <c r="J13" s="50">
        <f>(C81*D207+C83*D208+C85*D209+C87*D210+C89*D211)/C204</f>
        <v>2.4756430090876608E-3</v>
      </c>
      <c r="K13" s="27">
        <f>J13/$J$27*100</f>
        <v>4.5028306947948584</v>
      </c>
      <c r="L13" s="90">
        <f>($C$81*$E$207+$C$83*$E$208+$C$85*$E$209+$C$87*$E$210+$C$89*$E$211)/$C$204</f>
        <v>5.6840670408760933E-5</v>
      </c>
      <c r="M13" s="78">
        <f t="shared" si="2"/>
        <v>5.6840670408760931E-2</v>
      </c>
      <c r="N13" s="27">
        <f t="shared" si="3"/>
        <v>2.2445536202595431</v>
      </c>
    </row>
    <row r="14" spans="1:20" x14ac:dyDescent="0.2">
      <c r="A14" s="73" t="s">
        <v>196</v>
      </c>
      <c r="B14" s="105" t="s">
        <v>45</v>
      </c>
      <c r="C14" s="92">
        <v>832</v>
      </c>
      <c r="D14" s="92">
        <v>832</v>
      </c>
      <c r="E14" s="92">
        <v>832</v>
      </c>
      <c r="G14" s="1" t="s">
        <v>101</v>
      </c>
      <c r="H14" s="75">
        <f>(C78*C212)/C204</f>
        <v>2.1163142488300635E-2</v>
      </c>
      <c r="I14" s="27">
        <f>H14/$H$27*100</f>
        <v>1.462311672790338</v>
      </c>
      <c r="J14" s="50">
        <f>(C78*D212)/C204</f>
        <v>8.7206742322480213E-4</v>
      </c>
      <c r="K14" s="27">
        <f>J14/$J$27*100</f>
        <v>1.5861624421666578</v>
      </c>
      <c r="L14" s="90">
        <f>(C78*E212)/C204</f>
        <v>5.1813210919632584E-4</v>
      </c>
      <c r="M14" s="78">
        <f t="shared" si="2"/>
        <v>0.5181321091963258</v>
      </c>
      <c r="N14" s="27">
        <f t="shared" si="3"/>
        <v>20.460267148609759</v>
      </c>
      <c r="O14" s="69"/>
    </row>
    <row r="15" spans="1:20" x14ac:dyDescent="0.2">
      <c r="A15" s="157" t="s">
        <v>174</v>
      </c>
      <c r="B15" s="105" t="s">
        <v>197</v>
      </c>
      <c r="C15" s="92">
        <v>45</v>
      </c>
      <c r="D15" s="92">
        <v>45</v>
      </c>
      <c r="E15" s="92">
        <v>45</v>
      </c>
      <c r="G15" s="1" t="s">
        <v>209</v>
      </c>
      <c r="H15" s="77">
        <f>(C100*(1+C216))/C204</f>
        <v>0.47898434983482574</v>
      </c>
      <c r="I15" s="27">
        <f>H15/$H$27*100</f>
        <v>33.096427254816419</v>
      </c>
      <c r="J15" s="50">
        <f>(C100*(D216+D225))/C204</f>
        <v>1.7725794073112741E-2</v>
      </c>
      <c r="K15" s="27">
        <f>J15/$J$27*100</f>
        <v>32.240613589694902</v>
      </c>
      <c r="L15" s="90">
        <f>(C100*E216)/C204</f>
        <v>2.8478848164223548E-5</v>
      </c>
      <c r="M15" s="78">
        <f t="shared" si="2"/>
        <v>2.8478848164223549E-2</v>
      </c>
      <c r="N15" s="27">
        <f t="shared" si="3"/>
        <v>1.1245873999750957</v>
      </c>
      <c r="O15" s="69"/>
    </row>
    <row r="16" spans="1:20" x14ac:dyDescent="0.2">
      <c r="A16" s="157"/>
      <c r="B16" s="105" t="s">
        <v>183</v>
      </c>
      <c r="C16" s="134">
        <f>C15*C14</f>
        <v>37440</v>
      </c>
      <c r="D16" s="134">
        <f>D15*D14</f>
        <v>37440</v>
      </c>
      <c r="E16" s="89">
        <f>E15*E14</f>
        <v>37440</v>
      </c>
      <c r="G16" s="1" t="s">
        <v>238</v>
      </c>
      <c r="H16" s="77">
        <f>((C99+C102+C114)*(1+C216))/C204</f>
        <v>0.54713045176081576</v>
      </c>
      <c r="I16" s="27">
        <f>H16/$H$27*100</f>
        <v>37.805124952080618</v>
      </c>
      <c r="J16" s="50">
        <f>((C99+C102+C114)*(D216+D225))/C204</f>
        <v>2.0247679746500612E-2</v>
      </c>
      <c r="K16" s="27">
        <f>J16/$J$27*100</f>
        <v>36.827552892821316</v>
      </c>
      <c r="L16" s="90">
        <f>((C99+C102+C114)*E216)/(C204)</f>
        <v>3.2530593258615914E-5</v>
      </c>
      <c r="M16" s="78">
        <f t="shared" si="2"/>
        <v>3.2530593258615917E-2</v>
      </c>
      <c r="N16" s="27">
        <f t="shared" si="3"/>
        <v>1.2845847936473829</v>
      </c>
    </row>
    <row r="17" spans="1:15" x14ac:dyDescent="0.2">
      <c r="A17" s="73" t="s">
        <v>218</v>
      </c>
      <c r="B17" s="105" t="s">
        <v>45</v>
      </c>
      <c r="C17" s="92" t="s">
        <v>44</v>
      </c>
      <c r="D17" s="92">
        <v>1.8080000000000001</v>
      </c>
      <c r="E17" s="92">
        <v>1.8080000000000001</v>
      </c>
      <c r="G17" s="1" t="s">
        <v>312</v>
      </c>
      <c r="H17" s="81" t="s">
        <v>10</v>
      </c>
      <c r="I17" s="1">
        <v>0</v>
      </c>
      <c r="J17" s="24" t="s">
        <v>10</v>
      </c>
      <c r="K17" s="1">
        <v>0</v>
      </c>
      <c r="L17" s="57">
        <f>(C73-C119-C158)/C204</f>
        <v>1.8578729566582843E-3</v>
      </c>
      <c r="M17" s="78">
        <f t="shared" si="2"/>
        <v>1.8578729566582843</v>
      </c>
      <c r="N17" s="27">
        <f t="shared" si="3"/>
        <v>73.364642620522488</v>
      </c>
    </row>
    <row r="18" spans="1:15" x14ac:dyDescent="0.2">
      <c r="A18" s="73" t="s">
        <v>213</v>
      </c>
      <c r="B18" s="105" t="s">
        <v>45</v>
      </c>
      <c r="C18" s="96">
        <v>0.58750000000000002</v>
      </c>
      <c r="D18" s="96">
        <v>0.67849999999999999</v>
      </c>
      <c r="E18" s="96">
        <v>0.67849999999999999</v>
      </c>
      <c r="G18" s="11" t="s">
        <v>109</v>
      </c>
      <c r="H18" s="58"/>
      <c r="I18" s="29"/>
      <c r="J18" s="58"/>
      <c r="K18" s="29"/>
      <c r="L18" s="29"/>
      <c r="M18" s="59"/>
      <c r="N18" s="29"/>
      <c r="O18" s="69"/>
    </row>
    <row r="19" spans="1:15" x14ac:dyDescent="0.2">
      <c r="A19" s="73" t="s">
        <v>281</v>
      </c>
      <c r="B19" s="105" t="s">
        <v>45</v>
      </c>
      <c r="C19" s="92" t="s">
        <v>44</v>
      </c>
      <c r="D19" s="92" t="s">
        <v>44</v>
      </c>
      <c r="E19" s="92">
        <v>16.244</v>
      </c>
      <c r="G19" s="1" t="s">
        <v>84</v>
      </c>
      <c r="H19" s="75">
        <f>((C149*C148*35.3147*1193)/947.8)/C204</f>
        <v>1.5408310739018176E-2</v>
      </c>
      <c r="I19" s="27">
        <f>H19/$H$27*100</f>
        <v>1.0646695151300407</v>
      </c>
      <c r="J19" s="50">
        <f>((C154*C18*25)+(C155*C18*2.75))/C204</f>
        <v>6.0534854369074284E-4</v>
      </c>
      <c r="K19" s="27">
        <f>J19/$J$27*100</f>
        <v>1.1010400100394788</v>
      </c>
      <c r="L19" s="57" t="s">
        <v>10</v>
      </c>
      <c r="M19" s="83" t="s">
        <v>10</v>
      </c>
      <c r="N19" s="57" t="s">
        <v>10</v>
      </c>
      <c r="O19" s="69"/>
    </row>
    <row r="20" spans="1:15" x14ac:dyDescent="0.2">
      <c r="A20" s="16" t="s">
        <v>23</v>
      </c>
      <c r="B20" s="106"/>
      <c r="C20" s="20"/>
      <c r="D20" s="20"/>
      <c r="E20" s="20"/>
      <c r="G20" s="1" t="s">
        <v>226</v>
      </c>
      <c r="H20" s="77">
        <f>(C136*(1+C216))/C204</f>
        <v>1.1556781383052497E-4</v>
      </c>
      <c r="I20" s="27">
        <f>H20/$H$27*100</f>
        <v>7.9854002427409559E-3</v>
      </c>
      <c r="J20" s="50">
        <f>(C136*(D216+D225))/C204</f>
        <v>4.2768229695733008E-6</v>
      </c>
      <c r="K20" s="27">
        <f>J20/$J$27*100</f>
        <v>7.7789122554852369E-3</v>
      </c>
      <c r="L20" s="90">
        <f>((C136+C144)*E216)/C204</f>
        <v>7.2154455262114306E-9</v>
      </c>
      <c r="M20" s="78">
        <f t="shared" si="2"/>
        <v>7.2154455262114302E-6</v>
      </c>
      <c r="N20" s="27">
        <f t="shared" si="3"/>
        <v>2.8492722308122469E-4</v>
      </c>
    </row>
    <row r="21" spans="1:15" x14ac:dyDescent="0.2">
      <c r="A21" s="1" t="s">
        <v>24</v>
      </c>
      <c r="B21" s="107" t="s">
        <v>2</v>
      </c>
      <c r="C21" s="49">
        <f>8*0.0254</f>
        <v>0.20319999999999999</v>
      </c>
      <c r="D21" s="2" t="s">
        <v>44</v>
      </c>
      <c r="E21" s="2" t="s">
        <v>44</v>
      </c>
      <c r="G21" s="1" t="s">
        <v>112</v>
      </c>
      <c r="H21" s="75">
        <f>(C128*C223)/C204</f>
        <v>1.5246964589683875E-2</v>
      </c>
      <c r="I21" s="27">
        <f>H21/$H$27*100</f>
        <v>1.0535209648775556</v>
      </c>
      <c r="J21" s="50">
        <f>(C128*D223+C127*D224)/C204</f>
        <v>6.398316972509139E-4</v>
      </c>
      <c r="K21" s="27">
        <f>J21/$J$27*100</f>
        <v>1.1637597970742355</v>
      </c>
      <c r="L21" s="90">
        <f>(C128*E223)/C204</f>
        <v>6.9959171313856871E-7</v>
      </c>
      <c r="M21" s="78">
        <f t="shared" si="2"/>
        <v>6.9959171313856876E-4</v>
      </c>
      <c r="N21" s="27">
        <f t="shared" si="3"/>
        <v>2.7625837294605909E-2</v>
      </c>
    </row>
    <row r="22" spans="1:15" x14ac:dyDescent="0.2">
      <c r="A22" s="1" t="s">
        <v>3</v>
      </c>
      <c r="B22" s="107" t="s">
        <v>4</v>
      </c>
      <c r="C22" s="39">
        <v>2.6635</v>
      </c>
      <c r="D22" s="2" t="s">
        <v>44</v>
      </c>
      <c r="E22" s="2" t="s">
        <v>44</v>
      </c>
      <c r="G22" s="11" t="s">
        <v>64</v>
      </c>
      <c r="H22" s="58"/>
      <c r="I22" s="29"/>
      <c r="J22" s="58"/>
      <c r="K22" s="29"/>
      <c r="L22" s="29"/>
      <c r="M22" s="59"/>
      <c r="N22" s="29"/>
    </row>
    <row r="23" spans="1:15" x14ac:dyDescent="0.2">
      <c r="A23" s="1" t="s">
        <v>180</v>
      </c>
      <c r="B23" s="107" t="s">
        <v>2</v>
      </c>
      <c r="C23" s="32">
        <v>914.4</v>
      </c>
      <c r="D23" s="2" t="s">
        <v>44</v>
      </c>
      <c r="E23" s="2" t="s">
        <v>44</v>
      </c>
      <c r="G23" s="1" t="s">
        <v>227</v>
      </c>
      <c r="H23" s="77">
        <f>(C163*(1+C216))/C204</f>
        <v>5.7884104174303608E-6</v>
      </c>
      <c r="I23" s="27">
        <f>H23/$H$27*100</f>
        <v>3.999623460924537E-4</v>
      </c>
      <c r="J23" s="50">
        <f>(C163*(D216+D225))/C204</f>
        <v>2.1421194889856724E-7</v>
      </c>
      <c r="K23" s="27">
        <f>J23/$J$27*100</f>
        <v>3.896200442275245E-4</v>
      </c>
      <c r="L23" s="90">
        <f>(C163*E216)/C204</f>
        <v>3.4416001576472268E-10</v>
      </c>
      <c r="M23" s="78">
        <f t="shared" si="2"/>
        <v>3.4416001576472266E-7</v>
      </c>
      <c r="N23" s="27">
        <f t="shared" si="3"/>
        <v>1.3590367667694247E-5</v>
      </c>
    </row>
    <row r="24" spans="1:15" x14ac:dyDescent="0.2">
      <c r="A24" s="1" t="s">
        <v>5</v>
      </c>
      <c r="B24" s="107" t="s">
        <v>11</v>
      </c>
      <c r="C24" s="123">
        <f>13.62*(C23+(C22*1000))</f>
        <v>48730.998</v>
      </c>
      <c r="D24" s="2" t="s">
        <v>44</v>
      </c>
      <c r="E24" s="2" t="s">
        <v>44</v>
      </c>
      <c r="G24" s="1" t="s">
        <v>184</v>
      </c>
      <c r="H24" s="75">
        <f>((C197*(1+C216))/C204)</f>
        <v>2.2269174534003956E-4</v>
      </c>
      <c r="I24" s="27">
        <f>H24/$H$27*100</f>
        <v>1.5387352744272996E-2</v>
      </c>
      <c r="J24" s="50">
        <f>(C197*(D216+D225))/C204</f>
        <v>8.2411628293092108E-6</v>
      </c>
      <c r="K24" s="27">
        <f>J24/$J$27*100</f>
        <v>1.4989463671618563E-2</v>
      </c>
      <c r="L24" s="90">
        <f>(C197*E216)/C204</f>
        <v>1.324052530140477E-8</v>
      </c>
      <c r="M24" s="78">
        <f t="shared" si="2"/>
        <v>1.324052530140477E-5</v>
      </c>
      <c r="N24" s="27">
        <f t="shared" si="3"/>
        <v>5.2284867130676063E-4</v>
      </c>
    </row>
    <row r="25" spans="1:15" ht="15" x14ac:dyDescent="0.2">
      <c r="A25" s="9" t="s">
        <v>6</v>
      </c>
      <c r="B25" s="107" t="s">
        <v>21</v>
      </c>
      <c r="C25" s="7">
        <v>18927</v>
      </c>
      <c r="D25" s="7" t="s">
        <v>44</v>
      </c>
      <c r="E25" s="7" t="s">
        <v>44</v>
      </c>
      <c r="G25" s="1" t="s">
        <v>113</v>
      </c>
      <c r="H25" s="75">
        <f>(C161*C223)/C204</f>
        <v>0.10561537210194501</v>
      </c>
      <c r="I25" s="27">
        <f>H25/$H$27*100</f>
        <v>7.2977154284222134</v>
      </c>
      <c r="J25" s="50">
        <f>(C161*D223+C160*D224)/C204</f>
        <v>4.4320994116754482E-3</v>
      </c>
      <c r="K25" s="27">
        <f>J25/$J$27*100</f>
        <v>8.0613372768269667</v>
      </c>
      <c r="L25" s="91">
        <f>(C161*E223)/C204</f>
        <v>4.8460556636013712E-6</v>
      </c>
      <c r="M25" s="78">
        <f t="shared" si="2"/>
        <v>4.8460556636013711E-3</v>
      </c>
      <c r="N25" s="27">
        <f t="shared" si="3"/>
        <v>0.19136353785931418</v>
      </c>
    </row>
    <row r="26" spans="1:15" ht="13.5" customHeight="1" x14ac:dyDescent="0.2">
      <c r="A26" s="1" t="s">
        <v>175</v>
      </c>
      <c r="B26" s="108" t="s">
        <v>2</v>
      </c>
      <c r="C26" s="2">
        <v>45.72</v>
      </c>
      <c r="D26" s="2" t="s">
        <v>44</v>
      </c>
      <c r="E26" s="2" t="s">
        <v>44</v>
      </c>
      <c r="G26" s="1" t="s">
        <v>157</v>
      </c>
      <c r="H26" s="75">
        <f>(C165*C227)/C204</f>
        <v>2.4966129677918857E-3</v>
      </c>
      <c r="I26" s="27">
        <f>H26/$H$27*100</f>
        <v>0.17250870409534147</v>
      </c>
      <c r="J26" s="50">
        <f>(C165*D227)/C204</f>
        <v>6.8844644791603933E-4</v>
      </c>
      <c r="K26" s="27">
        <f>J26/$J$27*100</f>
        <v>1.2521828817884559</v>
      </c>
      <c r="L26" s="90">
        <f>(E219*C165)/C204</f>
        <v>4.8053689742812819E-6</v>
      </c>
      <c r="M26" s="78">
        <f t="shared" si="2"/>
        <v>4.8053689742812824E-3</v>
      </c>
      <c r="N26" s="27">
        <f t="shared" si="3"/>
        <v>0.18975688095057186</v>
      </c>
    </row>
    <row r="27" spans="1:15" ht="15" x14ac:dyDescent="0.2">
      <c r="A27" s="1" t="s">
        <v>7</v>
      </c>
      <c r="B27" s="107" t="s">
        <v>21</v>
      </c>
      <c r="C27" s="114">
        <f>(2/3)*C25</f>
        <v>12618</v>
      </c>
      <c r="D27" s="2" t="s">
        <v>44</v>
      </c>
      <c r="E27" s="2" t="s">
        <v>44</v>
      </c>
      <c r="G27" s="13" t="s">
        <v>219</v>
      </c>
      <c r="H27" s="85">
        <f>SUM(H6:H11)+SUM(H13:H16)+SUM(H19:H21)+SUM(H23:H26)</f>
        <v>1.4472388398512732</v>
      </c>
      <c r="I27" s="47"/>
      <c r="J27" s="85">
        <f>SUM(J6:J11)+SUM(J13:J16)+SUM(J19:J21)+SUM(J23:J26)</f>
        <v>5.4979704476773514E-2</v>
      </c>
      <c r="K27" s="27"/>
      <c r="M27" s="84">
        <f>SUM(M6:M11,M13:M17,M20:M21,M23:M26)</f>
        <v>2.5323819353528432</v>
      </c>
      <c r="N27" s="27"/>
    </row>
    <row r="28" spans="1:15" ht="15" x14ac:dyDescent="0.2">
      <c r="A28" s="1" t="s">
        <v>8</v>
      </c>
      <c r="B28" s="107" t="s">
        <v>22</v>
      </c>
      <c r="C28" s="115">
        <f>45.72*45.72</f>
        <v>2090.3184000000001</v>
      </c>
      <c r="D28" s="2" t="s">
        <v>44</v>
      </c>
      <c r="E28" s="2" t="s">
        <v>44</v>
      </c>
    </row>
    <row r="29" spans="1:15" ht="15.75" x14ac:dyDescent="0.25">
      <c r="A29" s="1" t="s">
        <v>9</v>
      </c>
      <c r="B29" s="107" t="s">
        <v>2</v>
      </c>
      <c r="C29" s="115">
        <f>C25/C28</f>
        <v>9.0546014425362173</v>
      </c>
      <c r="D29" s="2" t="s">
        <v>44</v>
      </c>
      <c r="E29" s="2" t="s">
        <v>44</v>
      </c>
      <c r="G29" s="159" t="s">
        <v>329</v>
      </c>
      <c r="H29" s="159"/>
      <c r="I29" s="159"/>
      <c r="J29" s="159"/>
      <c r="K29" s="159"/>
      <c r="L29" s="159"/>
      <c r="M29" s="159"/>
      <c r="N29" s="159"/>
    </row>
    <row r="30" spans="1:15" x14ac:dyDescent="0.2">
      <c r="A30" s="1" t="s">
        <v>176</v>
      </c>
      <c r="B30" s="107" t="s">
        <v>2</v>
      </c>
      <c r="C30" s="49">
        <f>80*0.0000254</f>
        <v>2.032E-3</v>
      </c>
      <c r="D30" s="2" t="s">
        <v>44</v>
      </c>
      <c r="E30" s="2" t="s">
        <v>44</v>
      </c>
      <c r="G30" s="150" t="s">
        <v>72</v>
      </c>
      <c r="H30" s="151" t="s">
        <v>73</v>
      </c>
      <c r="I30" s="151"/>
      <c r="J30" s="152" t="s">
        <v>74</v>
      </c>
      <c r="K30" s="152"/>
      <c r="L30" s="153" t="s">
        <v>317</v>
      </c>
      <c r="M30" s="153"/>
      <c r="N30" s="153"/>
    </row>
    <row r="31" spans="1:15" x14ac:dyDescent="0.2">
      <c r="A31" s="1" t="s">
        <v>71</v>
      </c>
      <c r="B31" s="107" t="s">
        <v>70</v>
      </c>
      <c r="C31" s="35">
        <f>2000/15850.32307</f>
        <v>0.126180393369105</v>
      </c>
      <c r="D31" s="2" t="s">
        <v>44</v>
      </c>
      <c r="E31" s="2" t="s">
        <v>44</v>
      </c>
      <c r="G31" s="150"/>
      <c r="H31" s="74" t="s">
        <v>160</v>
      </c>
      <c r="I31" s="2" t="s">
        <v>168</v>
      </c>
      <c r="J31" s="24" t="s">
        <v>161</v>
      </c>
      <c r="K31" s="2" t="s">
        <v>168</v>
      </c>
      <c r="L31" s="89" t="s">
        <v>311</v>
      </c>
      <c r="M31" s="82" t="s">
        <v>323</v>
      </c>
      <c r="N31" s="2" t="s">
        <v>168</v>
      </c>
    </row>
    <row r="32" spans="1:15" x14ac:dyDescent="0.2">
      <c r="A32" s="1" t="s">
        <v>91</v>
      </c>
      <c r="B32" s="107" t="s">
        <v>92</v>
      </c>
      <c r="C32" s="116">
        <f>C31/(PI()*(C21/2)^2)</f>
        <v>3.8909404887882224</v>
      </c>
      <c r="D32" s="2" t="s">
        <v>44</v>
      </c>
      <c r="E32" s="2" t="s">
        <v>44</v>
      </c>
      <c r="F32" s="1">
        <f>C31/(PI() * (C21/2)^2)</f>
        <v>3.8909404887882224</v>
      </c>
      <c r="G32" s="11" t="s">
        <v>229</v>
      </c>
      <c r="H32" s="48"/>
      <c r="I32" s="48"/>
      <c r="J32" s="34"/>
      <c r="K32" s="17"/>
      <c r="L32" s="17"/>
      <c r="M32" s="17"/>
      <c r="N32" s="17"/>
    </row>
    <row r="33" spans="1:15" x14ac:dyDescent="0.2">
      <c r="A33" s="1" t="s">
        <v>275</v>
      </c>
      <c r="B33" s="107" t="s">
        <v>98</v>
      </c>
      <c r="C33" s="115">
        <f>C76/C31</f>
        <v>636914.01407056535</v>
      </c>
      <c r="D33" s="2" t="s">
        <v>44</v>
      </c>
      <c r="E33" s="2" t="s">
        <v>44</v>
      </c>
      <c r="G33" s="1" t="s">
        <v>324</v>
      </c>
      <c r="H33" s="75">
        <f>($C$222*D77)/$D$204</f>
        <v>0.99389175535010832</v>
      </c>
      <c r="I33" s="27">
        <f>(H33/$H$48)*100</f>
        <v>35.177811885290531</v>
      </c>
      <c r="J33" s="50">
        <f>($D$222*$D$76*$D$3/1000)/$D$204</f>
        <v>6.1568515818148289E-2</v>
      </c>
      <c r="K33" s="27">
        <f>(J33/(SUM($J$33:$J$45)+ABS($J$47)))*100</f>
        <v>12.581308742068471</v>
      </c>
      <c r="L33" s="90">
        <f>(E222*D77)/D204</f>
        <v>1.741509447427623E-4</v>
      </c>
      <c r="M33" s="78">
        <f t="shared" ref="M33:M40" si="4">1000*L33</f>
        <v>0.1741509447427623</v>
      </c>
      <c r="N33" s="27">
        <f>M33/$M$48*100</f>
        <v>33.350099219554139</v>
      </c>
    </row>
    <row r="34" spans="1:15" x14ac:dyDescent="0.2">
      <c r="A34" s="1" t="s">
        <v>122</v>
      </c>
      <c r="B34" s="108" t="s">
        <v>10</v>
      </c>
      <c r="C34" s="115">
        <f>(C32*C21*C3)/C5</f>
        <v>885737.88983726688</v>
      </c>
      <c r="D34" s="2" t="s">
        <v>44</v>
      </c>
      <c r="E34" s="2" t="s">
        <v>44</v>
      </c>
      <c r="G34" s="1" t="s">
        <v>102</v>
      </c>
      <c r="H34" s="75">
        <f>($D$61*$C$223)/$D$204</f>
        <v>0.28950381473654452</v>
      </c>
      <c r="I34" s="27">
        <f>(H34/$H$48)*100</f>
        <v>10.246700085854629</v>
      </c>
      <c r="J34" s="50">
        <f>($D$61*$D$223+$D$60*$D$224)/$D$204</f>
        <v>1.2148891410741972E-2</v>
      </c>
      <c r="K34" s="27">
        <f t="shared" ref="K34:K35" si="5">(J34/(SUM($J$33:$J$45)+ABS($J$47)))*100</f>
        <v>2.482583048840588</v>
      </c>
      <c r="L34" s="90">
        <f>(D61*E223)/D204</f>
        <v>1.328359284370118E-5</v>
      </c>
      <c r="M34" s="78">
        <f t="shared" si="4"/>
        <v>1.3283592843701179E-2</v>
      </c>
      <c r="N34" s="27">
        <f t="shared" ref="N34:N45" si="6">M34/$M$48*100</f>
        <v>2.543822773881363</v>
      </c>
    </row>
    <row r="35" spans="1:15" x14ac:dyDescent="0.2">
      <c r="A35" s="9" t="s">
        <v>198</v>
      </c>
      <c r="B35" s="108" t="s">
        <v>10</v>
      </c>
      <c r="C35" s="117">
        <f>(0.124*(C8/C21)*C34)+LN(0.4587*C34)</f>
        <v>13.738553710590823</v>
      </c>
      <c r="D35" s="2" t="s">
        <v>44</v>
      </c>
      <c r="E35" s="2" t="s">
        <v>44</v>
      </c>
      <c r="G35" s="1" t="s">
        <v>103</v>
      </c>
      <c r="H35" s="75">
        <f>($D$67*$C$223)/($D$204)</f>
        <v>2.3287782186629902E-3</v>
      </c>
      <c r="I35" s="27">
        <f>(H35/$H$48)*100</f>
        <v>8.2424792898931967E-2</v>
      </c>
      <c r="J35" s="50">
        <f>($D$67*$D$223+$D$66*$D$224)/($D$204)</f>
        <v>9.7726082552605613E-5</v>
      </c>
      <c r="K35" s="27">
        <f t="shared" si="5"/>
        <v>1.996997979257413E-2</v>
      </c>
      <c r="L35" s="90">
        <f>(D67*E223)/D204</f>
        <v>1.0685365824332938E-7</v>
      </c>
      <c r="M35" s="78">
        <f t="shared" si="4"/>
        <v>1.0685365824332938E-4</v>
      </c>
      <c r="N35" s="27">
        <f t="shared" si="6"/>
        <v>2.0462594157333536E-2</v>
      </c>
    </row>
    <row r="36" spans="1:15" x14ac:dyDescent="0.2">
      <c r="A36" s="9" t="s">
        <v>199</v>
      </c>
      <c r="B36" s="108" t="s">
        <v>10</v>
      </c>
      <c r="C36" s="118">
        <f>(1/(0.8686*LN((0.4587*C34)/(C35^(C35/(C35+1))))))^2</f>
        <v>1.2085613294190939E-2</v>
      </c>
      <c r="D36" s="2" t="s">
        <v>44</v>
      </c>
      <c r="E36" s="2" t="s">
        <v>44</v>
      </c>
      <c r="G36" s="20" t="s">
        <v>228</v>
      </c>
      <c r="H36" s="58"/>
      <c r="I36" s="28"/>
      <c r="J36" s="58"/>
      <c r="K36" s="58"/>
      <c r="L36" s="58"/>
      <c r="M36" s="58"/>
      <c r="N36" s="58"/>
    </row>
    <row r="37" spans="1:15" x14ac:dyDescent="0.2">
      <c r="A37" s="9" t="s">
        <v>94</v>
      </c>
      <c r="B37" s="107" t="s">
        <v>96</v>
      </c>
      <c r="C37" s="115">
        <f>(C36*(C22*1000)*(C32^2)*C3)/2</f>
        <v>242950.34158705329</v>
      </c>
      <c r="D37" s="2" t="s">
        <v>44</v>
      </c>
      <c r="E37" s="2" t="s">
        <v>44</v>
      </c>
      <c r="G37" s="1" t="s">
        <v>100</v>
      </c>
      <c r="H37" s="75">
        <f>($D$81*$C$207+$D$83*$C$208+$D$85*$C$209+$D$87*$C$210+$D$89*$C$211)/$D$204</f>
        <v>1.7875907191815296E-2</v>
      </c>
      <c r="I37" s="27">
        <f>(H37/$H$48)*100</f>
        <v>0.63269998678183725</v>
      </c>
      <c r="J37" s="50">
        <f>($D$81*$D$207+$D$83*$D$208+$D$85*$D$209+$D$87*$D$210+$D$89*$D$211)/$D$204</f>
        <v>8.7202013725016039E-4</v>
      </c>
      <c r="K37" s="27">
        <f>(J37/(SUM($J$33:$J$46)+ABS($J$47)))*100</f>
        <v>0.17798534850214479</v>
      </c>
      <c r="L37" s="90">
        <f>(D81*$E$207+D83*$E$208+D85*$E$209+D87*$E$210+D89*$E$211)/$D$204</f>
        <v>1.8662835650202395E-5</v>
      </c>
      <c r="M37" s="78">
        <f t="shared" si="4"/>
        <v>1.8662835650202395E-2</v>
      </c>
      <c r="N37" s="27">
        <f t="shared" si="6"/>
        <v>3.5739537420933178</v>
      </c>
    </row>
    <row r="38" spans="1:15" x14ac:dyDescent="0.2">
      <c r="A38" s="21" t="s">
        <v>115</v>
      </c>
      <c r="B38" s="107" t="s">
        <v>68</v>
      </c>
      <c r="C38" s="115">
        <f>(((C31*(C37+0.1*C37))/(C10*C12*C13))*C33)/(10^6)</f>
        <v>84175.810800638341</v>
      </c>
      <c r="D38" s="2" t="s">
        <v>44</v>
      </c>
      <c r="E38" s="2" t="s">
        <v>44</v>
      </c>
      <c r="G38" s="1" t="s">
        <v>101</v>
      </c>
      <c r="H38" s="75">
        <f>($D$78*$C$212)/$D$204</f>
        <v>9.6614451612903225E-3</v>
      </c>
      <c r="I38" s="27">
        <f>(H38/$H$48)*100</f>
        <v>0.3419572590218331</v>
      </c>
      <c r="J38" s="50">
        <f>($D$78*$D$212)/$D$204</f>
        <v>3.9811817130144605E-4</v>
      </c>
      <c r="K38" s="27">
        <f t="shared" ref="K38:K40" si="7">(J38/(SUM($J$33:$J$46)+ABS($J$47)))*100</f>
        <v>8.12586756167957E-2</v>
      </c>
      <c r="L38" s="90">
        <f>(D78*E212)/D204</f>
        <v>2.3653882981090096E-4</v>
      </c>
      <c r="M38" s="78">
        <f t="shared" si="4"/>
        <v>0.23653882981090096</v>
      </c>
      <c r="N38" s="27">
        <f t="shared" si="6"/>
        <v>45.297448458422018</v>
      </c>
      <c r="O38" s="69"/>
    </row>
    <row r="39" spans="1:15" x14ac:dyDescent="0.2">
      <c r="A39" s="9" t="s">
        <v>95</v>
      </c>
      <c r="B39" s="107" t="s">
        <v>96</v>
      </c>
      <c r="C39" s="115">
        <f>(C36*C23*(C32^2)*C3)/2</f>
        <v>83406.717607359315</v>
      </c>
      <c r="D39" s="2" t="s">
        <v>44</v>
      </c>
      <c r="E39" s="2" t="s">
        <v>44</v>
      </c>
      <c r="G39" s="1" t="s">
        <v>167</v>
      </c>
      <c r="H39" s="76" t="s">
        <v>10</v>
      </c>
      <c r="I39" s="36" t="s">
        <v>10</v>
      </c>
      <c r="J39" s="51" t="s">
        <v>10</v>
      </c>
      <c r="K39" s="27"/>
      <c r="L39" s="57" t="s">
        <v>10</v>
      </c>
      <c r="M39" s="83" t="s">
        <v>10</v>
      </c>
      <c r="N39" s="57" t="s">
        <v>10</v>
      </c>
    </row>
    <row r="40" spans="1:15" x14ac:dyDescent="0.2">
      <c r="A40" s="21" t="s">
        <v>116</v>
      </c>
      <c r="B40" s="107" t="s">
        <v>68</v>
      </c>
      <c r="C40" s="115">
        <f>(((C31*(2*C39))/(C10*C12*C13))*C33)/(10^6)</f>
        <v>52542.185706506272</v>
      </c>
      <c r="D40" s="2" t="s">
        <v>44</v>
      </c>
      <c r="E40" s="2" t="s">
        <v>44</v>
      </c>
      <c r="G40" s="1" t="s">
        <v>299</v>
      </c>
      <c r="H40" s="77">
        <f>(($D$102+$D$114)*(1+$C$216))/$D$204</f>
        <v>1.1924767792380815</v>
      </c>
      <c r="I40" s="27">
        <f>(H40/$H$48)*100</f>
        <v>42.206531638686847</v>
      </c>
      <c r="J40" s="50">
        <f>(($D$102+$D$114)*($D$216+$D$225))/$D$204</f>
        <v>4.4130038555606467E-2</v>
      </c>
      <c r="K40" s="27">
        <f t="shared" si="7"/>
        <v>9.0072464570613988</v>
      </c>
      <c r="L40" s="90">
        <f>((D102+D114)*E216)/(D204)</f>
        <v>7.0900782347052947E-5</v>
      </c>
      <c r="M40" s="78">
        <f t="shared" si="4"/>
        <v>7.0900782347052951E-2</v>
      </c>
      <c r="N40" s="27">
        <f t="shared" si="6"/>
        <v>13.577578516791242</v>
      </c>
    </row>
    <row r="41" spans="1:15" x14ac:dyDescent="0.2">
      <c r="A41" s="22" t="s">
        <v>107</v>
      </c>
      <c r="B41" s="107" t="s">
        <v>15</v>
      </c>
      <c r="C41" s="116">
        <f>(C38+C40)/C16</f>
        <v>3.6516558896139055</v>
      </c>
      <c r="D41" s="7" t="s">
        <v>44</v>
      </c>
      <c r="E41" s="7" t="s">
        <v>44</v>
      </c>
      <c r="G41" s="11" t="s">
        <v>109</v>
      </c>
      <c r="H41" s="59"/>
      <c r="I41" s="29"/>
      <c r="J41" s="59"/>
      <c r="K41" s="59"/>
      <c r="L41" s="58"/>
      <c r="M41" s="59"/>
      <c r="N41" s="59"/>
    </row>
    <row r="42" spans="1:15" x14ac:dyDescent="0.2">
      <c r="A42" s="1" t="s">
        <v>325</v>
      </c>
      <c r="B42" s="108" t="s">
        <v>166</v>
      </c>
      <c r="C42" s="2" t="s">
        <v>10</v>
      </c>
      <c r="D42" s="32">
        <v>199.13499999999999</v>
      </c>
      <c r="E42" s="32">
        <v>199.13499999999999</v>
      </c>
      <c r="G42" s="1" t="s">
        <v>84</v>
      </c>
      <c r="H42" s="75">
        <f>($D$155*35.3147*1193/947.8)/$D$204</f>
        <v>0.16319996683685803</v>
      </c>
      <c r="I42" s="27">
        <f>(H42/$H$48)*100</f>
        <v>5.7763007914783575</v>
      </c>
      <c r="J42" s="50">
        <f>((D154*$D$18*25)+(D155*$D$18*2.75))/D204</f>
        <v>7.4795819743162769E-3</v>
      </c>
      <c r="K42" s="27">
        <f>(J42/(SUM($J$33:$J$46)+ABS($J$47)))*100</f>
        <v>1.5266344749182541</v>
      </c>
      <c r="L42" s="57" t="s">
        <v>10</v>
      </c>
      <c r="M42" s="83" t="s">
        <v>10</v>
      </c>
      <c r="N42" s="57" t="s">
        <v>10</v>
      </c>
    </row>
    <row r="43" spans="1:15" x14ac:dyDescent="0.2">
      <c r="A43" s="9" t="s">
        <v>16</v>
      </c>
      <c r="B43" s="107" t="s">
        <v>111</v>
      </c>
      <c r="C43" s="115">
        <f>5.917*264.172*1.609</f>
        <v>2515.0371099160002</v>
      </c>
      <c r="D43" s="30">
        <f>5.917*264.172*1.609</f>
        <v>2515.0371099160002</v>
      </c>
      <c r="E43" s="30">
        <f>5.917*264.172*1.609</f>
        <v>2515.0371099160002</v>
      </c>
      <c r="G43" s="11" t="s">
        <v>64</v>
      </c>
      <c r="H43" s="58"/>
      <c r="I43" s="29"/>
      <c r="J43" s="58"/>
      <c r="K43" s="58"/>
      <c r="L43" s="58"/>
      <c r="M43" s="58"/>
      <c r="N43" s="58"/>
    </row>
    <row r="44" spans="1:15" ht="15" x14ac:dyDescent="0.2">
      <c r="A44" s="9" t="s">
        <v>17</v>
      </c>
      <c r="B44" s="107" t="s">
        <v>21</v>
      </c>
      <c r="C44" s="2" t="s">
        <v>44</v>
      </c>
      <c r="D44" s="7">
        <v>20</v>
      </c>
      <c r="E44" s="7">
        <v>20</v>
      </c>
      <c r="G44" s="1" t="s">
        <v>184</v>
      </c>
      <c r="H44" s="75">
        <f>($D$197*(1+$C$216))/$D$204</f>
        <v>2.7762128663374563E-6</v>
      </c>
      <c r="I44" s="27">
        <f>(H44/$H$48)*100</f>
        <v>9.8261298013424159E-5</v>
      </c>
      <c r="J44" s="50">
        <f>($D$197*($D$216+$D$225))/$D$204</f>
        <v>1.0273942684931926E-7</v>
      </c>
      <c r="K44" s="27">
        <f>(J44/(SUM($J$33:$J$46)+ABS($J$47)))*100</f>
        <v>2.096982846101509E-5</v>
      </c>
      <c r="L44" s="90">
        <f>(D197*E216)/D204</f>
        <v>1.6506456780738802E-10</v>
      </c>
      <c r="M44" s="78">
        <f t="shared" ref="M44:M45" si="8">1000*L44</f>
        <v>1.6506456780738801E-7</v>
      </c>
      <c r="N44" s="27">
        <f t="shared" si="6"/>
        <v>3.16100479508768E-5</v>
      </c>
    </row>
    <row r="45" spans="1:15" x14ac:dyDescent="0.2">
      <c r="A45" s="9" t="s">
        <v>53</v>
      </c>
      <c r="B45" s="107" t="s">
        <v>10</v>
      </c>
      <c r="C45" s="2">
        <v>0</v>
      </c>
      <c r="D45" s="128">
        <f>ROUNDUP(D76/D44,0)</f>
        <v>3269</v>
      </c>
      <c r="E45" s="2">
        <f>ROUNDUP(E76/E44,0)</f>
        <v>2974</v>
      </c>
      <c r="G45" s="1" t="s">
        <v>260</v>
      </c>
      <c r="H45" s="75">
        <f>(($D$182*$D$178+$D$183*$D$179)*(1+C216))/$D$204</f>
        <v>0.14373779340264017</v>
      </c>
      <c r="I45" s="27">
        <f>(H45/$H$48)*100</f>
        <v>5.087456485986916</v>
      </c>
      <c r="J45" s="50">
        <f>(($D$182*$D$178+$D$183*$D$179)*(D216+D225))/$D$204</f>
        <v>5.3193105938793952E-3</v>
      </c>
      <c r="K45" s="27">
        <f t="shared" ref="K45:K46" si="9">(J45/(SUM($J$33:$J$46)+ABS($J$47)))*100</f>
        <v>1.0857081269112638</v>
      </c>
      <c r="L45" s="93">
        <f>(D184*E216)/D204</f>
        <v>8.5461806741408798E-6</v>
      </c>
      <c r="M45" s="78">
        <f t="shared" si="8"/>
        <v>8.546180674140879E-3</v>
      </c>
      <c r="N45" s="27">
        <f t="shared" si="6"/>
        <v>1.6366030850526272</v>
      </c>
      <c r="O45" s="27"/>
    </row>
    <row r="46" spans="1:15" x14ac:dyDescent="0.2">
      <c r="A46" s="9" t="s">
        <v>12</v>
      </c>
      <c r="B46" s="107" t="s">
        <v>4</v>
      </c>
      <c r="C46" s="2">
        <v>0</v>
      </c>
      <c r="D46" s="32">
        <v>117.03333333333333</v>
      </c>
      <c r="E46" s="32">
        <v>117.03333333333333</v>
      </c>
      <c r="G46" s="9" t="s">
        <v>261</v>
      </c>
      <c r="H46" s="75">
        <f>((D170*35.3147*1193)/947.8)/D204</f>
        <v>1.2658041541593258E-2</v>
      </c>
      <c r="I46" s="27">
        <f>(H46/$H$48)*100</f>
        <v>0.44801881270209898</v>
      </c>
      <c r="J46" s="50">
        <f>((0.01*D171*25+0.99*D171*2.75))/D204</f>
        <v>5.7432665317204282E-4</v>
      </c>
      <c r="K46" s="27">
        <f t="shared" si="9"/>
        <v>0.11722404695979133</v>
      </c>
      <c r="L46" s="57" t="s">
        <v>10</v>
      </c>
      <c r="M46" s="83" t="s">
        <v>10</v>
      </c>
      <c r="N46" s="27">
        <v>0</v>
      </c>
    </row>
    <row r="47" spans="1:15" x14ac:dyDescent="0.2">
      <c r="A47" s="1" t="s">
        <v>128</v>
      </c>
      <c r="B47" s="108" t="s">
        <v>125</v>
      </c>
      <c r="C47" s="2" t="s">
        <v>44</v>
      </c>
      <c r="D47" s="123">
        <f>D45*D46</f>
        <v>382581.96666666667</v>
      </c>
      <c r="E47" s="23">
        <f>E45*E46</f>
        <v>348057.1333333333</v>
      </c>
      <c r="G47" s="1" t="s">
        <v>284</v>
      </c>
      <c r="H47" s="76" t="s">
        <v>10</v>
      </c>
      <c r="I47" s="36" t="s">
        <v>10</v>
      </c>
      <c r="J47" s="50">
        <f>-(D199/D204)</f>
        <v>-0.35735064915205972</v>
      </c>
      <c r="K47" s="27">
        <f>(ABS(J47)/(SUM($J$33:$J$46)+ABS($J$47)))*100</f>
        <v>72.937742042705693</v>
      </c>
      <c r="L47" s="57" t="s">
        <v>10</v>
      </c>
      <c r="M47" s="83" t="s">
        <v>10</v>
      </c>
      <c r="N47" s="27">
        <v>0</v>
      </c>
    </row>
    <row r="48" spans="1:15" ht="15" x14ac:dyDescent="0.2">
      <c r="A48" s="9" t="s">
        <v>18</v>
      </c>
      <c r="B48" s="107" t="s">
        <v>21</v>
      </c>
      <c r="C48" s="2">
        <v>19</v>
      </c>
      <c r="D48" s="2">
        <v>19</v>
      </c>
      <c r="E48" s="2">
        <v>19</v>
      </c>
      <c r="G48" s="13" t="s">
        <v>219</v>
      </c>
      <c r="H48" s="85">
        <f>SUM(H33:H35)+SUM(H37:H40)+SUM(H42:H42)+SUM(H44:H47)</f>
        <v>2.8253370578904611</v>
      </c>
      <c r="I48" s="47"/>
      <c r="J48" s="85">
        <f>SUM(J33:J35)+SUM(J37:J40)+SUM(J42:J42)+SUM(J44:J47)</f>
        <v>-0.2247620170156642</v>
      </c>
      <c r="K48" s="27"/>
      <c r="M48" s="85">
        <f>SUM(M33:M35,M37:M40,M42,M44:M47)</f>
        <v>0.52219018479157187</v>
      </c>
      <c r="N48" s="27"/>
    </row>
    <row r="49" spans="1:15" x14ac:dyDescent="0.2">
      <c r="A49" s="9" t="s">
        <v>19</v>
      </c>
      <c r="B49" s="107" t="s">
        <v>10</v>
      </c>
      <c r="C49" s="114">
        <f>ROUNDUP(C80/C48,0)</f>
        <v>10</v>
      </c>
      <c r="D49" s="128">
        <f>ROUNDUP(D80/D48,0)</f>
        <v>7</v>
      </c>
      <c r="E49" s="2">
        <f>ROUNDUP(E80/E48,0)</f>
        <v>7</v>
      </c>
      <c r="G49" s="1" t="s">
        <v>286</v>
      </c>
    </row>
    <row r="50" spans="1:15" ht="15" x14ac:dyDescent="0.2">
      <c r="A50" s="9" t="s">
        <v>20</v>
      </c>
      <c r="B50" s="107" t="s">
        <v>21</v>
      </c>
      <c r="C50" s="2">
        <v>1.325</v>
      </c>
      <c r="D50" s="2">
        <v>1.325</v>
      </c>
      <c r="E50" s="2">
        <v>1.325</v>
      </c>
    </row>
    <row r="51" spans="1:15" ht="15.75" x14ac:dyDescent="0.25">
      <c r="A51" s="9" t="s">
        <v>181</v>
      </c>
      <c r="B51" s="107" t="s">
        <v>10</v>
      </c>
      <c r="C51" s="2">
        <v>20</v>
      </c>
      <c r="D51" s="2">
        <v>20</v>
      </c>
      <c r="E51" s="2">
        <v>20</v>
      </c>
      <c r="G51" s="159" t="s">
        <v>331</v>
      </c>
      <c r="H51" s="159"/>
      <c r="I51" s="159"/>
      <c r="J51" s="159"/>
      <c r="K51" s="159"/>
      <c r="L51" s="159"/>
      <c r="M51" s="159"/>
      <c r="N51" s="159"/>
    </row>
    <row r="52" spans="1:15" x14ac:dyDescent="0.2">
      <c r="A52" s="9" t="s">
        <v>182</v>
      </c>
      <c r="B52" s="107" t="s">
        <v>10</v>
      </c>
      <c r="C52" s="114">
        <f>ROUNDUP((C82+C84+C86+C88)/C50,0)</f>
        <v>23</v>
      </c>
      <c r="D52" s="128">
        <f>ROUNDUP((D82+D84+D86+D88)/D50,0)</f>
        <v>2</v>
      </c>
      <c r="E52" s="2">
        <f>ROUNDUP((E82+E84+E86+E88)/E50,0)</f>
        <v>2</v>
      </c>
      <c r="G52" s="150" t="s">
        <v>72</v>
      </c>
      <c r="H52" s="151" t="s">
        <v>73</v>
      </c>
      <c r="I52" s="151"/>
      <c r="J52" s="152" t="s">
        <v>74</v>
      </c>
      <c r="K52" s="152"/>
      <c r="L52" s="153" t="s">
        <v>317</v>
      </c>
      <c r="M52" s="153"/>
      <c r="N52" s="153"/>
    </row>
    <row r="53" spans="1:15" x14ac:dyDescent="0.2">
      <c r="A53" s="9" t="s">
        <v>201</v>
      </c>
      <c r="B53" s="107"/>
      <c r="C53" s="114">
        <f>ROUNDUP(C52/C51,0)</f>
        <v>2</v>
      </c>
      <c r="D53" s="128">
        <f>ROUNDUP(D52/D51,0)</f>
        <v>1</v>
      </c>
      <c r="E53" s="2">
        <f>ROUNDUP(E52/E51,0)</f>
        <v>1</v>
      </c>
      <c r="G53" s="150"/>
      <c r="H53" s="74" t="s">
        <v>160</v>
      </c>
      <c r="I53" s="2" t="s">
        <v>168</v>
      </c>
      <c r="J53" s="24" t="s">
        <v>161</v>
      </c>
      <c r="K53" s="2" t="s">
        <v>168</v>
      </c>
      <c r="L53" s="89" t="s">
        <v>311</v>
      </c>
      <c r="M53" s="82" t="s">
        <v>323</v>
      </c>
      <c r="N53" s="2" t="s">
        <v>168</v>
      </c>
    </row>
    <row r="54" spans="1:15" x14ac:dyDescent="0.2">
      <c r="A54" s="9" t="s">
        <v>55</v>
      </c>
      <c r="B54" s="107" t="s">
        <v>4</v>
      </c>
      <c r="C54" s="32">
        <v>925.17499999999995</v>
      </c>
      <c r="D54" s="32">
        <v>925.17499999999995</v>
      </c>
      <c r="E54" s="32">
        <v>925.17499999999995</v>
      </c>
      <c r="G54" s="11" t="s">
        <v>229</v>
      </c>
      <c r="H54" s="48"/>
      <c r="I54" s="48"/>
      <c r="J54" s="34"/>
      <c r="K54" s="17"/>
      <c r="L54" s="17"/>
      <c r="M54" s="17"/>
      <c r="N54" s="17"/>
    </row>
    <row r="55" spans="1:15" x14ac:dyDescent="0.2">
      <c r="A55" s="1" t="s">
        <v>127</v>
      </c>
      <c r="B55" s="108" t="s">
        <v>125</v>
      </c>
      <c r="C55" s="115">
        <f>(C53*C54)+(C49*C54)</f>
        <v>11102.1</v>
      </c>
      <c r="D55" s="123">
        <f>(D53*D54)+(D49*D54)</f>
        <v>7401.4</v>
      </c>
      <c r="E55" s="23">
        <f>(E53*E54)+(E49*E54)</f>
        <v>7401.4</v>
      </c>
      <c r="F55" s="9"/>
      <c r="G55" s="1" t="s">
        <v>324</v>
      </c>
      <c r="H55" s="75">
        <f>(C222*E77)/$E$204</f>
        <v>0.22202443831948671</v>
      </c>
      <c r="I55" s="27">
        <f>(H55/$H$72)*100</f>
        <v>34.36941832676294</v>
      </c>
      <c r="J55" s="50">
        <f>(D222*E76*E3/1000)/E204</f>
        <v>1.3630781252586611E-2</v>
      </c>
      <c r="K55" s="27">
        <f>(J55/(SUM($J$55:$J$70)+ABS($J$71)))*100</f>
        <v>7.119408861795594</v>
      </c>
      <c r="L55" s="90">
        <f>(E222*E77)/E204</f>
        <v>3.8903397156865802E-5</v>
      </c>
      <c r="M55" s="78">
        <f t="shared" ref="M55:M62" si="10">1000*L55</f>
        <v>3.8903397156865804E-2</v>
      </c>
      <c r="N55" s="27">
        <f>M55/$M$72*100</f>
        <v>32.968466026660664</v>
      </c>
    </row>
    <row r="56" spans="1:15" x14ac:dyDescent="0.2">
      <c r="A56" s="9" t="s">
        <v>203</v>
      </c>
      <c r="B56" s="107" t="s">
        <v>204</v>
      </c>
      <c r="C56" s="7">
        <v>30</v>
      </c>
      <c r="D56" s="7">
        <v>30</v>
      </c>
      <c r="E56" s="7">
        <v>30</v>
      </c>
      <c r="F56" s="9"/>
      <c r="G56" s="1" t="s">
        <v>102</v>
      </c>
      <c r="H56" s="75">
        <f>($E$61*$C$223)/$E$204</f>
        <v>6.4292530089270744E-2</v>
      </c>
      <c r="I56" s="27">
        <f>(H56/$H$72)*100</f>
        <v>9.9524938725188896</v>
      </c>
      <c r="J56" s="50">
        <f>(E61*$D$223+E60*$D$224)/E204</f>
        <v>2.6980057837483612E-3</v>
      </c>
      <c r="K56" s="27">
        <f t="shared" ref="K56:K57" si="11">(J56/(SUM($J$55:$J$70)+ABS($J$71)))*100</f>
        <v>1.4091786765596324</v>
      </c>
      <c r="L56" s="100">
        <f>(E61*E223)/E204</f>
        <v>2.9499984080502454E-6</v>
      </c>
      <c r="M56" s="78">
        <f t="shared" si="10"/>
        <v>2.9499984080502456E-3</v>
      </c>
      <c r="N56" s="27">
        <f t="shared" ref="N56:N62" si="12">M56/$M$72*100</f>
        <v>2.49995962826458</v>
      </c>
    </row>
    <row r="57" spans="1:15" x14ac:dyDescent="0.2">
      <c r="A57" s="9" t="s">
        <v>205</v>
      </c>
      <c r="B57" s="107" t="s">
        <v>10</v>
      </c>
      <c r="C57" s="114">
        <f>ROUNDUP(C78/(C56*1000),0)</f>
        <v>364</v>
      </c>
      <c r="D57" s="128">
        <f>ROUNDUP(D78/(D56*1000),0)</f>
        <v>255</v>
      </c>
      <c r="E57" s="2">
        <f>ROUNDUP(E78/(E56*1000),0)</f>
        <v>237</v>
      </c>
      <c r="G57" s="1" t="s">
        <v>103</v>
      </c>
      <c r="H57" s="75">
        <f>($E$67*$C$223)/($E$204)</f>
        <v>5.4412087902728915E-4</v>
      </c>
      <c r="I57" s="27">
        <f>(H57/$H$72)*100</f>
        <v>8.4229998522525287E-2</v>
      </c>
      <c r="J57" s="50">
        <f>(E67*$D$223+E66*$D$224)/(E204)</f>
        <v>2.283377674879928E-5</v>
      </c>
      <c r="K57" s="27">
        <f t="shared" si="11"/>
        <v>1.1926168392058628E-2</v>
      </c>
      <c r="L57" s="90">
        <f>(E67*E223)/E204</f>
        <v>2.4966442053044583E-8</v>
      </c>
      <c r="M57" s="78">
        <f t="shared" si="10"/>
        <v>2.4966442053044585E-5</v>
      </c>
      <c r="N57" s="27">
        <f t="shared" si="12"/>
        <v>2.1157671483379131E-2</v>
      </c>
    </row>
    <row r="58" spans="1:15" x14ac:dyDescent="0.2">
      <c r="A58" s="9" t="s">
        <v>56</v>
      </c>
      <c r="B58" s="107" t="s">
        <v>4</v>
      </c>
      <c r="C58" s="32">
        <v>88.495000000000005</v>
      </c>
      <c r="D58" s="32">
        <v>88.495000000000005</v>
      </c>
      <c r="E58" s="32">
        <v>88.495000000000005</v>
      </c>
      <c r="G58" s="20" t="s">
        <v>228</v>
      </c>
      <c r="H58" s="58"/>
      <c r="I58" s="28"/>
      <c r="J58" s="58"/>
      <c r="K58" s="58"/>
      <c r="L58" s="17"/>
      <c r="M58" s="58"/>
      <c r="N58" s="28"/>
    </row>
    <row r="59" spans="1:15" x14ac:dyDescent="0.2">
      <c r="A59" s="1" t="s">
        <v>126</v>
      </c>
      <c r="B59" s="108" t="s">
        <v>125</v>
      </c>
      <c r="C59" s="115">
        <f>C57*C58</f>
        <v>32212.18</v>
      </c>
      <c r="D59" s="123">
        <f>D57*D58</f>
        <v>22566.225000000002</v>
      </c>
      <c r="E59" s="23">
        <f>E57*E58</f>
        <v>20973.315000000002</v>
      </c>
      <c r="G59" s="1" t="s">
        <v>100</v>
      </c>
      <c r="H59" s="75">
        <f>(E81*$C$207+E83*$C$208+E85*$C$209+E87*C210+$E$89*C211)/$E$204</f>
        <v>4.0399820486415527E-3</v>
      </c>
      <c r="I59" s="27">
        <f>(H59/$H$72)*100</f>
        <v>0.62538986299593968</v>
      </c>
      <c r="J59" s="50">
        <f>(E81*$D$207+E83*$D$208+E85*$D$209+E87*$D$210+E89*$D$211)/E204</f>
        <v>1.9707786926515341E-4</v>
      </c>
      <c r="K59" s="27">
        <f>(J59/(SUM($J$55:$J$70)+ABS($J$71)))*100</f>
        <v>0.10293452025311278</v>
      </c>
      <c r="L59" s="90">
        <f>(E81*E207+E83*E208+E85*E209+E87*E210+E89*E211)/E204</f>
        <v>4.2178290698492183E-6</v>
      </c>
      <c r="M59" s="78">
        <f t="shared" si="10"/>
        <v>4.2178290698492186E-3</v>
      </c>
      <c r="N59" s="27">
        <f t="shared" si="12"/>
        <v>3.5743756216170119</v>
      </c>
      <c r="O59" s="69"/>
    </row>
    <row r="60" spans="1:15" x14ac:dyDescent="0.2">
      <c r="A60" s="1" t="s">
        <v>129</v>
      </c>
      <c r="B60" s="108" t="s">
        <v>125</v>
      </c>
      <c r="C60" s="115">
        <f>C55+C59</f>
        <v>43314.28</v>
      </c>
      <c r="D60" s="123">
        <f>D47+D55+D59</f>
        <v>412549.59166666667</v>
      </c>
      <c r="E60" s="23">
        <f>E47+E55+E59</f>
        <v>376431.84833333333</v>
      </c>
      <c r="G60" s="1" t="s">
        <v>101</v>
      </c>
      <c r="H60" s="75">
        <f>($E$78*$C$212)/E204</f>
        <v>2.1835012118108892E-3</v>
      </c>
      <c r="I60" s="27">
        <f>(H60/$H$72)*100</f>
        <v>0.3380063344996902</v>
      </c>
      <c r="J60" s="50">
        <f>(E78*$D$212)/E204</f>
        <v>8.99753085556556E-5</v>
      </c>
      <c r="K60" s="27">
        <f t="shared" ref="K60:K62" si="13">(J60/(SUM($J$55:$J$70)+ABS($J$71)))*100</f>
        <v>4.6994445674371818E-2</v>
      </c>
      <c r="L60" s="90">
        <f>(E78*E212)/E204</f>
        <v>5.3458133116749342E-5</v>
      </c>
      <c r="M60" s="78">
        <f t="shared" si="10"/>
        <v>5.3458133116749344E-2</v>
      </c>
      <c r="N60" s="27">
        <f t="shared" si="12"/>
        <v>45.302795496285185</v>
      </c>
    </row>
    <row r="61" spans="1:15" x14ac:dyDescent="0.2">
      <c r="A61" s="9" t="s">
        <v>104</v>
      </c>
      <c r="B61" s="107" t="s">
        <v>15</v>
      </c>
      <c r="C61" s="115">
        <f>C60/C43</f>
        <v>17.222123613693579</v>
      </c>
      <c r="D61" s="123">
        <f>D60/D43</f>
        <v>164.03320254803137</v>
      </c>
      <c r="E61" s="23">
        <f>E60/E43</f>
        <v>149.67248270380622</v>
      </c>
      <c r="G61" s="9" t="s">
        <v>167</v>
      </c>
      <c r="H61" s="76" t="s">
        <v>10</v>
      </c>
      <c r="I61" s="36" t="s">
        <v>10</v>
      </c>
      <c r="J61" s="51" t="s">
        <v>10</v>
      </c>
      <c r="K61" s="27"/>
      <c r="L61" s="57" t="s">
        <v>10</v>
      </c>
      <c r="M61" s="83" t="s">
        <v>10</v>
      </c>
      <c r="N61" s="36" t="s">
        <v>10</v>
      </c>
    </row>
    <row r="62" spans="1:15" x14ac:dyDescent="0.2">
      <c r="A62" s="22" t="s">
        <v>114</v>
      </c>
      <c r="B62" s="108" t="s">
        <v>15</v>
      </c>
      <c r="C62" s="115">
        <f>C41+C115+C145+C164+C198</f>
        <v>374.49272364050489</v>
      </c>
      <c r="D62" s="123">
        <f>D115+D185+D198</f>
        <v>740.21437280669852</v>
      </c>
      <c r="E62" s="30">
        <f>E115+E185+E191+E198</f>
        <v>705.9799497479986</v>
      </c>
      <c r="G62" s="1" t="s">
        <v>299</v>
      </c>
      <c r="H62" s="77">
        <f>((E102+E114)*(1+$C$216))/E204</f>
        <v>0.26950155479379168</v>
      </c>
      <c r="I62" s="27">
        <f>(H62/$H$72)*100</f>
        <v>41.718883500077688</v>
      </c>
      <c r="J62" s="50">
        <f>((E102+E114)*($D$216+$D$225))/E204</f>
        <v>9.9734554256434883E-3</v>
      </c>
      <c r="K62" s="27">
        <f t="shared" si="13"/>
        <v>5.2091736800908226</v>
      </c>
      <c r="L62" s="57">
        <f>((E102+E114)*E216)/(E204)</f>
        <v>1.6023683992266691E-5</v>
      </c>
      <c r="M62" s="78">
        <f t="shared" si="10"/>
        <v>1.6023683992266689E-2</v>
      </c>
      <c r="N62" s="27">
        <f t="shared" si="12"/>
        <v>13.579181252240813</v>
      </c>
    </row>
    <row r="63" spans="1:15" x14ac:dyDescent="0.2">
      <c r="A63" s="9" t="s">
        <v>14</v>
      </c>
      <c r="B63" s="108" t="s">
        <v>15</v>
      </c>
      <c r="C63" s="2">
        <v>30</v>
      </c>
      <c r="D63" s="2">
        <v>30</v>
      </c>
      <c r="E63" s="2">
        <v>30</v>
      </c>
      <c r="G63" s="11" t="s">
        <v>109</v>
      </c>
      <c r="H63" s="59"/>
      <c r="I63" s="29"/>
      <c r="J63" s="59"/>
      <c r="K63" s="59"/>
      <c r="L63" s="17"/>
      <c r="M63" s="59"/>
      <c r="N63" s="29"/>
    </row>
    <row r="64" spans="1:15" x14ac:dyDescent="0.2">
      <c r="A64" s="9" t="s">
        <v>54</v>
      </c>
      <c r="B64" s="108" t="s">
        <v>10</v>
      </c>
      <c r="C64" s="114">
        <f>ROUNDUP(C62/C63,0)</f>
        <v>13</v>
      </c>
      <c r="D64" s="128">
        <f>ROUNDUP(D62/D63,0)</f>
        <v>25</v>
      </c>
      <c r="E64" s="2">
        <f>ROUNDUP(E62/E63,0)</f>
        <v>24</v>
      </c>
      <c r="G64" s="9" t="s">
        <v>84</v>
      </c>
      <c r="H64" s="75">
        <f>(E155*35.3147*1193/947.8)/E204</f>
        <v>3.9720626849182379E-2</v>
      </c>
      <c r="I64" s="27">
        <f>(H64/$H$72)*100</f>
        <v>6.1487593470064503</v>
      </c>
      <c r="J64" s="50">
        <f>(E154*E18*25+E155*E18*2.75)/E204</f>
        <v>1.8204273588283001E-3</v>
      </c>
      <c r="K64" s="27">
        <f>(J64/(SUM($J$55:$J$70)+ABS($J$71)))*100</f>
        <v>0.95081612935707227</v>
      </c>
      <c r="L64" s="57" t="s">
        <v>10</v>
      </c>
      <c r="M64" s="83" t="s">
        <v>10</v>
      </c>
      <c r="N64" s="36" t="s">
        <v>10</v>
      </c>
    </row>
    <row r="65" spans="1:14" x14ac:dyDescent="0.2">
      <c r="A65" s="1" t="s">
        <v>13</v>
      </c>
      <c r="B65" s="108" t="s">
        <v>4</v>
      </c>
      <c r="C65" s="32">
        <v>132.74250000000001</v>
      </c>
      <c r="D65" s="32">
        <v>132.74250000000001</v>
      </c>
      <c r="E65" s="32">
        <v>132.74250000000001</v>
      </c>
      <c r="G65" s="11" t="s">
        <v>64</v>
      </c>
      <c r="H65" s="58"/>
      <c r="I65" s="29"/>
      <c r="J65" s="58"/>
      <c r="K65" s="58"/>
      <c r="L65" s="17"/>
      <c r="M65" s="59"/>
      <c r="N65" s="29"/>
    </row>
    <row r="66" spans="1:14" x14ac:dyDescent="0.2">
      <c r="A66" s="1" t="s">
        <v>155</v>
      </c>
      <c r="B66" s="108" t="s">
        <v>125</v>
      </c>
      <c r="C66" s="119">
        <f>C65*C64</f>
        <v>1725.6525000000001</v>
      </c>
      <c r="D66" s="131">
        <f>D65*D64</f>
        <v>3318.5625</v>
      </c>
      <c r="E66" s="40">
        <f>E65*E64</f>
        <v>3185.82</v>
      </c>
      <c r="G66" s="1" t="s">
        <v>184</v>
      </c>
      <c r="H66" s="75">
        <f>(E197*(1+$C$216))/E204</f>
        <v>6.7569202037842849E-7</v>
      </c>
      <c r="I66" s="27">
        <f>(H66/$H$72)*100</f>
        <v>1.0459723210750527E-4</v>
      </c>
      <c r="J66" s="50">
        <f>(E197*($D$216+$D$225))/E204</f>
        <v>2.5005363148511565E-8</v>
      </c>
      <c r="K66" s="27">
        <f>(J66/(SUM($J$55:$J$70)+ABS($J$71)))*100</f>
        <v>1.3060396223301436E-5</v>
      </c>
      <c r="L66" s="90">
        <f>(E197*E216)/E204</f>
        <v>4.0174445074814017E-11</v>
      </c>
      <c r="M66" s="78">
        <f t="shared" ref="M66:M70" si="14">1000*L66</f>
        <v>4.0174445074814019E-8</v>
      </c>
      <c r="N66" s="27">
        <f t="shared" ref="N66:N70" si="15">M66/$M$72*100</f>
        <v>3.4045608465717247E-5</v>
      </c>
    </row>
    <row r="67" spans="1:14" x14ac:dyDescent="0.2">
      <c r="A67" s="1" t="s">
        <v>202</v>
      </c>
      <c r="B67" s="108" t="s">
        <v>15</v>
      </c>
      <c r="C67" s="120">
        <f>C66/C43</f>
        <v>0.68613401098389171</v>
      </c>
      <c r="D67" s="132">
        <f>D66/D43</f>
        <v>1.31948848266133</v>
      </c>
      <c r="E67" s="41">
        <f>E66/E43</f>
        <v>1.266708943354877</v>
      </c>
      <c r="G67" s="1" t="s">
        <v>260</v>
      </c>
      <c r="H67" s="75">
        <f>(($E$182*$E$178+$E$183*$E$179)*(1+C216))/$E$204</f>
        <v>3.498380156889655E-2</v>
      </c>
      <c r="I67" s="27">
        <f>(H67/$H$72)*100</f>
        <v>5.4154980410385791</v>
      </c>
      <c r="J67" s="50">
        <f>(($E$182*$E$178+$E$183*$E$179)*(D216+D225))/$E$204</f>
        <v>1.2946470228489533E-3</v>
      </c>
      <c r="K67" s="27">
        <f t="shared" ref="K67:K70" si="16">(J67/(SUM($J$55:$J$70)+ABS($J$71)))*100</f>
        <v>0.67619906126943796</v>
      </c>
      <c r="L67" s="90">
        <f>(E184*E216)/E204</f>
        <v>2.0800228095792622E-6</v>
      </c>
      <c r="M67" s="78">
        <f t="shared" si="14"/>
        <v>2.0800228095792621E-3</v>
      </c>
      <c r="N67" s="27">
        <f t="shared" si="15"/>
        <v>1.7627036799841729</v>
      </c>
    </row>
    <row r="68" spans="1:14" x14ac:dyDescent="0.2">
      <c r="A68" s="16" t="s">
        <v>287</v>
      </c>
      <c r="B68" s="107"/>
      <c r="C68" s="12"/>
      <c r="D68" s="12"/>
      <c r="E68" s="12"/>
      <c r="G68" s="9" t="s">
        <v>276</v>
      </c>
      <c r="H68" s="75">
        <f>((E187*E169/1000)*(1+C216))/E204</f>
        <v>5.5028774959838917E-3</v>
      </c>
      <c r="I68" s="27">
        <f>(H68/$H$72)*100</f>
        <v>0.85184631066714622</v>
      </c>
      <c r="J68" s="50">
        <f>((E187*E168*E17/1000)*(D216+D225))/E204</f>
        <v>2.036452200098264E-4</v>
      </c>
      <c r="K68" s="27">
        <f t="shared" si="16"/>
        <v>0.10636467251098666</v>
      </c>
      <c r="L68" s="90">
        <f>(E190*E216)/E204</f>
        <v>3.3829828545818419E-7</v>
      </c>
      <c r="M68" s="78">
        <f t="shared" si="14"/>
        <v>3.3829828545818417E-4</v>
      </c>
      <c r="N68" s="27">
        <f t="shared" si="15"/>
        <v>0.28668898723764397</v>
      </c>
    </row>
    <row r="69" spans="1:14" x14ac:dyDescent="0.2">
      <c r="A69" s="1" t="s">
        <v>170</v>
      </c>
      <c r="B69" s="108" t="s">
        <v>15</v>
      </c>
      <c r="C69" s="39">
        <v>1514.1650137031934</v>
      </c>
      <c r="D69" s="39">
        <v>1059.9166666666667</v>
      </c>
      <c r="E69" s="79">
        <v>984.20833333333337</v>
      </c>
      <c r="G69" s="1" t="s">
        <v>265</v>
      </c>
      <c r="H69" s="75">
        <f>((E170*35.3147*1193)/947.8)/E204</f>
        <v>3.0807931794353963E-3</v>
      </c>
      <c r="I69" s="27">
        <f>(H69/$H$72)*100</f>
        <v>0.47690727364835234</v>
      </c>
      <c r="J69" s="51" t="s">
        <v>10</v>
      </c>
      <c r="K69" s="27"/>
      <c r="L69" s="57" t="s">
        <v>10</v>
      </c>
      <c r="M69" s="83" t="s">
        <v>10</v>
      </c>
      <c r="N69" s="36" t="s">
        <v>10</v>
      </c>
    </row>
    <row r="70" spans="1:14" x14ac:dyDescent="0.2">
      <c r="A70" s="1" t="s">
        <v>288</v>
      </c>
      <c r="B70" s="108" t="s">
        <v>10</v>
      </c>
      <c r="C70" s="7">
        <v>10</v>
      </c>
      <c r="D70" s="2">
        <v>10</v>
      </c>
      <c r="E70" s="2">
        <v>10</v>
      </c>
      <c r="G70" s="9" t="s">
        <v>250</v>
      </c>
      <c r="H70" s="75">
        <f>(E195*C223)/E204</f>
        <v>1.1926689974638558E-4</v>
      </c>
      <c r="I70" s="27">
        <f>(H70/$H$72)*100</f>
        <v>1.8462535029684833E-2</v>
      </c>
      <c r="J70" s="50">
        <f>((E195*D223)+(D224*E194))/E204</f>
        <v>5.0049793479691345E-6</v>
      </c>
      <c r="K70" s="27">
        <f t="shared" si="16"/>
        <v>2.6141197384613353E-3</v>
      </c>
      <c r="L70" s="57">
        <f>(E195*E223)/E204</f>
        <v>5.4724423490006811E-9</v>
      </c>
      <c r="M70" s="78">
        <f t="shared" si="14"/>
        <v>5.4724423490006815E-6</v>
      </c>
      <c r="N70" s="27">
        <f t="shared" si="15"/>
        <v>4.6375906180740126E-3</v>
      </c>
    </row>
    <row r="71" spans="1:14" x14ac:dyDescent="0.2">
      <c r="A71" s="1" t="s">
        <v>232</v>
      </c>
      <c r="B71" s="108" t="s">
        <v>10</v>
      </c>
      <c r="C71" s="7">
        <v>6</v>
      </c>
      <c r="D71" s="2">
        <v>6</v>
      </c>
      <c r="E71" s="2">
        <v>6</v>
      </c>
      <c r="G71" s="1" t="s">
        <v>284</v>
      </c>
      <c r="H71" s="76" t="s">
        <v>10</v>
      </c>
      <c r="I71" s="36" t="s">
        <v>10</v>
      </c>
      <c r="J71" s="50">
        <f>-(E199/E204)</f>
        <v>-0.16152357384197402</v>
      </c>
      <c r="K71" s="27">
        <f>(ABS(J71)/(SUM($J$55:$J$70)+ABS($J$71)))*100</f>
        <v>84.364376603962228</v>
      </c>
      <c r="L71" s="57" t="s">
        <v>10</v>
      </c>
      <c r="M71" s="83" t="s">
        <v>10</v>
      </c>
      <c r="N71" s="36" t="s">
        <v>10</v>
      </c>
    </row>
    <row r="72" spans="1:14" x14ac:dyDescent="0.2">
      <c r="A72" s="9" t="s">
        <v>233</v>
      </c>
      <c r="B72" s="108" t="s">
        <v>15</v>
      </c>
      <c r="C72" s="115">
        <f>C69*C70*C71</f>
        <v>90849.900822191616</v>
      </c>
      <c r="D72" s="123">
        <f>D69*D70*D71</f>
        <v>63595.000000000007</v>
      </c>
      <c r="E72" s="23">
        <f>E69*E70*E71</f>
        <v>59052.5</v>
      </c>
      <c r="G72" s="13" t="s">
        <v>219</v>
      </c>
      <c r="H72" s="85">
        <f>SUM(H55:H57)+SUM(H59:H62)+SUM(H64)+SUM(H66:H70)</f>
        <v>0.6459941690272939</v>
      </c>
      <c r="I72" s="47"/>
      <c r="J72" s="85">
        <f>SUM(J55:J57)+SUM(J59:J62)+SUM(J64:J64)+SUM(J66:J71)</f>
        <v>-0.13158769483902774</v>
      </c>
      <c r="K72" s="27"/>
      <c r="M72" s="85">
        <f>SUM(M55:M57,M59:M62,M64,M66:M71)</f>
        <v>0.11800184189766588</v>
      </c>
      <c r="N72" s="27"/>
    </row>
    <row r="73" spans="1:14" x14ac:dyDescent="0.2">
      <c r="A73" s="9" t="s">
        <v>234</v>
      </c>
      <c r="B73" s="108" t="s">
        <v>15</v>
      </c>
      <c r="C73" s="115">
        <f>C72-(C80+C82+C84+C86+C88)</f>
        <v>90638.414478631152</v>
      </c>
      <c r="D73" s="123">
        <f>D72-(D80+D86)</f>
        <v>63467.174050000009</v>
      </c>
      <c r="E73" s="23">
        <f>E72-(E80+E86)</f>
        <v>58933.804474999997</v>
      </c>
    </row>
    <row r="74" spans="1:14" x14ac:dyDescent="0.2">
      <c r="A74" s="9" t="s">
        <v>289</v>
      </c>
      <c r="B74" s="108" t="s">
        <v>11</v>
      </c>
      <c r="C74" s="23"/>
      <c r="D74" s="123">
        <f>D73*D3</f>
        <v>65485430.184790008</v>
      </c>
      <c r="E74" s="23">
        <f>E73*E3</f>
        <v>60807899.457304992</v>
      </c>
    </row>
    <row r="75" spans="1:14" x14ac:dyDescent="0.2">
      <c r="A75" s="1" t="s">
        <v>51</v>
      </c>
      <c r="B75" s="108" t="s">
        <v>52</v>
      </c>
      <c r="C75" s="39">
        <v>11.333333333333334</v>
      </c>
      <c r="D75" s="2" t="s">
        <v>44</v>
      </c>
      <c r="E75" s="2" t="s">
        <v>44</v>
      </c>
    </row>
    <row r="76" spans="1:14" x14ac:dyDescent="0.2">
      <c r="A76" s="1" t="s">
        <v>235</v>
      </c>
      <c r="B76" s="108" t="s">
        <v>15</v>
      </c>
      <c r="C76" s="115">
        <f>C73-((C75/100)*C73)</f>
        <v>80366.060837719619</v>
      </c>
      <c r="D76" s="123">
        <f>D73+0.03*D73</f>
        <v>65371.189271500007</v>
      </c>
      <c r="E76" s="23">
        <f>E73+0.03*E73-E192</f>
        <v>59463.767565835646</v>
      </c>
      <c r="F76" s="23"/>
    </row>
    <row r="77" spans="1:14" x14ac:dyDescent="0.2">
      <c r="B77" s="108" t="s">
        <v>271</v>
      </c>
      <c r="C77" s="23" t="s">
        <v>44</v>
      </c>
      <c r="D77" s="123">
        <f>(D74+0.03*D74)/1000</f>
        <v>67449.993090333708</v>
      </c>
      <c r="E77" s="23">
        <f>(E74+0.03*E74-E169-E171)/1000</f>
        <v>61908.114058024141</v>
      </c>
    </row>
    <row r="78" spans="1:14" x14ac:dyDescent="0.2">
      <c r="A78" s="9" t="s">
        <v>236</v>
      </c>
      <c r="B78" s="107" t="s">
        <v>11</v>
      </c>
      <c r="C78" s="115">
        <f>120*C72</f>
        <v>10901988.098662995</v>
      </c>
      <c r="D78" s="123">
        <f>120*D72</f>
        <v>7631400.0000000009</v>
      </c>
      <c r="E78" s="23">
        <f>120*E72</f>
        <v>7086300</v>
      </c>
    </row>
    <row r="79" spans="1:14" x14ac:dyDescent="0.2">
      <c r="A79" s="10" t="s">
        <v>237</v>
      </c>
      <c r="B79" s="109"/>
      <c r="E79" s="2"/>
    </row>
    <row r="80" spans="1:14" x14ac:dyDescent="0.2">
      <c r="A80" s="9" t="s">
        <v>46</v>
      </c>
      <c r="B80" s="107" t="s">
        <v>15</v>
      </c>
      <c r="C80" s="119">
        <f>((10000/5000000))*C72</f>
        <v>181.69980164438323</v>
      </c>
      <c r="D80" s="131">
        <f>((10000/5000000))*D72</f>
        <v>127.19000000000001</v>
      </c>
      <c r="E80" s="40">
        <f>((10000/5000000))*E72</f>
        <v>118.105</v>
      </c>
    </row>
    <row r="81" spans="1:6" x14ac:dyDescent="0.2">
      <c r="B81" s="108" t="s">
        <v>11</v>
      </c>
      <c r="C81" s="119">
        <f>(C80*1150)*0.3</f>
        <v>62686.431567312204</v>
      </c>
      <c r="D81" s="131">
        <f>(D80*1150)*0.3</f>
        <v>43880.549999999996</v>
      </c>
      <c r="E81" s="40">
        <f>(E80*1150)*0.3</f>
        <v>40746.224999999999</v>
      </c>
    </row>
    <row r="82" spans="1:6" x14ac:dyDescent="0.2">
      <c r="A82" s="9" t="s">
        <v>47</v>
      </c>
      <c r="B82" s="107" t="s">
        <v>15</v>
      </c>
      <c r="C82" s="119">
        <f>((((2000*0.43592)/(5000000/264.172))/(1110))/0.25)*C72</f>
        <v>15.080475675675679</v>
      </c>
      <c r="D82" s="40">
        <v>0</v>
      </c>
      <c r="E82" s="40">
        <v>0</v>
      </c>
    </row>
    <row r="83" spans="1:6" x14ac:dyDescent="0.2">
      <c r="B83" s="108" t="s">
        <v>11</v>
      </c>
      <c r="C83" s="119">
        <f>C82*1110*0.25</f>
        <v>4184.8320000000012</v>
      </c>
      <c r="D83" s="40">
        <v>0</v>
      </c>
      <c r="E83" s="40">
        <v>0</v>
      </c>
    </row>
    <row r="84" spans="1:6" x14ac:dyDescent="0.2">
      <c r="A84" s="9" t="s">
        <v>48</v>
      </c>
      <c r="B84" s="107" t="s">
        <v>15</v>
      </c>
      <c r="C84" s="119">
        <f>((((1500*0.43592)/(5000000/264.172))/(1060))/0.25)*C72</f>
        <v>11.843864150943402</v>
      </c>
      <c r="D84" s="40">
        <v>0</v>
      </c>
      <c r="E84" s="40">
        <v>0</v>
      </c>
    </row>
    <row r="85" spans="1:6" x14ac:dyDescent="0.2">
      <c r="B85" s="108" t="s">
        <v>11</v>
      </c>
      <c r="C85" s="119">
        <f>C84*1060*0.25</f>
        <v>3138.6240000000016</v>
      </c>
      <c r="D85" s="131">
        <f>D84*1060*0.25</f>
        <v>0</v>
      </c>
      <c r="E85" s="40">
        <f>E84*1060*0.25</f>
        <v>0</v>
      </c>
    </row>
    <row r="86" spans="1:6" x14ac:dyDescent="0.2">
      <c r="A86" s="9" t="s">
        <v>49</v>
      </c>
      <c r="B86" s="107" t="s">
        <v>15</v>
      </c>
      <c r="C86" s="120">
        <f>(50/5000000)*C72</f>
        <v>0.9084990082219162</v>
      </c>
      <c r="D86" s="132">
        <f>(50/5000000)*D72</f>
        <v>0.63595000000000013</v>
      </c>
      <c r="E86" s="41">
        <f>(50/5000000)*E72</f>
        <v>0.59052500000000008</v>
      </c>
    </row>
    <row r="87" spans="1:6" x14ac:dyDescent="0.2">
      <c r="B87" s="108" t="s">
        <v>11</v>
      </c>
      <c r="C87" s="119">
        <f>C86*791.8</f>
        <v>719.34951471011323</v>
      </c>
      <c r="D87" s="131">
        <f>D86*791.8</f>
        <v>503.54521000000005</v>
      </c>
      <c r="E87" s="40">
        <f>E86*791.8</f>
        <v>467.57769500000006</v>
      </c>
    </row>
    <row r="88" spans="1:6" x14ac:dyDescent="0.2">
      <c r="A88" s="9" t="s">
        <v>50</v>
      </c>
      <c r="B88" s="107" t="s">
        <v>15</v>
      </c>
      <c r="C88" s="120">
        <f>((((1500*0.43592)/(5000000/264.172))/(1890))/0.85)*C72</f>
        <v>1.953703081232494</v>
      </c>
      <c r="D88" s="132">
        <f>((((1500*0.43592)/(5000000/264.172))/(1890))/0.85)*D72</f>
        <v>1.367593649817517</v>
      </c>
      <c r="E88" s="41">
        <f>((((1500*0.43592)/(5000000/264.172))/(1890))/0.85)*E72</f>
        <v>1.2699083891162657</v>
      </c>
    </row>
    <row r="89" spans="1:6" x14ac:dyDescent="0.2">
      <c r="B89" s="108" t="s">
        <v>11</v>
      </c>
      <c r="C89" s="119">
        <f>C88*1890*0.85</f>
        <v>3138.6240000000016</v>
      </c>
      <c r="D89" s="131">
        <f>D88*1890*0.85</f>
        <v>2197.0391984318412</v>
      </c>
      <c r="E89" s="40">
        <f>E88*1890*0.85</f>
        <v>2040.1078271152808</v>
      </c>
    </row>
    <row r="90" spans="1:6" x14ac:dyDescent="0.2">
      <c r="A90" s="1" t="s">
        <v>134</v>
      </c>
      <c r="B90" s="108" t="s">
        <v>70</v>
      </c>
      <c r="C90" s="138">
        <f>(10*42/264.172)/60</f>
        <v>2.6497887739805881E-2</v>
      </c>
      <c r="D90" s="14">
        <f>(80*42/264.172)/60</f>
        <v>0.21198310191844705</v>
      </c>
      <c r="E90" s="14">
        <f>(80*42/264.172)/60</f>
        <v>0.21198310191844705</v>
      </c>
    </row>
    <row r="91" spans="1:6" x14ac:dyDescent="0.2">
      <c r="A91" s="9" t="s">
        <v>131</v>
      </c>
      <c r="B91" s="108" t="s">
        <v>98</v>
      </c>
      <c r="C91" s="121">
        <f>C72/C90</f>
        <v>3428571.4285714296</v>
      </c>
      <c r="D91" s="125">
        <f>D72/D90</f>
        <v>300000.32750000007</v>
      </c>
      <c r="E91" s="42">
        <f>E72/E90</f>
        <v>278571.73267857148</v>
      </c>
      <c r="F91" s="1">
        <f>C91/3600/24</f>
        <v>39.682539682539691</v>
      </c>
    </row>
    <row r="92" spans="1:6" x14ac:dyDescent="0.2">
      <c r="A92" s="1" t="s">
        <v>137</v>
      </c>
      <c r="B92" s="108" t="s">
        <v>2</v>
      </c>
      <c r="C92" s="14">
        <v>0.15240000000000001</v>
      </c>
      <c r="D92" s="14">
        <v>0.15240000000000001</v>
      </c>
      <c r="E92" s="14">
        <v>0.15240000000000001</v>
      </c>
    </row>
    <row r="93" spans="1:6" x14ac:dyDescent="0.2">
      <c r="A93" s="1" t="s">
        <v>136</v>
      </c>
      <c r="B93" s="108" t="s">
        <v>92</v>
      </c>
      <c r="C93" s="116">
        <f>C90/(PI()*(C92/2)^2)</f>
        <v>1.4526180638340314</v>
      </c>
      <c r="D93" s="127">
        <f>D90/(PI()*(D92/2)^2)</f>
        <v>11.620944510672251</v>
      </c>
      <c r="E93" s="36">
        <f>E90/(PI()*(E92/2)^2)</f>
        <v>11.620944510672251</v>
      </c>
    </row>
    <row r="94" spans="1:6" x14ac:dyDescent="0.2">
      <c r="A94" s="1" t="s">
        <v>130</v>
      </c>
      <c r="B94" s="108" t="s">
        <v>2</v>
      </c>
      <c r="C94" s="18">
        <v>10</v>
      </c>
      <c r="D94" s="18">
        <v>10</v>
      </c>
      <c r="E94" s="18">
        <v>10</v>
      </c>
    </row>
    <row r="95" spans="1:6" x14ac:dyDescent="0.2">
      <c r="A95" s="1" t="s">
        <v>185</v>
      </c>
      <c r="B95" s="108" t="s">
        <v>10</v>
      </c>
      <c r="C95" s="121">
        <f>(C93*C92*C3)/C5</f>
        <v>248006.65719007631</v>
      </c>
      <c r="D95" s="125">
        <f>(D93*D92*D3)/D5</f>
        <v>13108685.503783446</v>
      </c>
      <c r="E95" s="42">
        <f>(E93*E92*E3)/E5</f>
        <v>13108685.503783446</v>
      </c>
    </row>
    <row r="96" spans="1:6" x14ac:dyDescent="0.2">
      <c r="A96" s="9" t="s">
        <v>139</v>
      </c>
      <c r="B96" s="108"/>
      <c r="C96" s="117">
        <f>(0.124*(C8/C92)*C95)+LN(0.4587*C95)</f>
        <v>11.949380245831895</v>
      </c>
      <c r="D96" s="129">
        <f>(0.124*(D8/D92)*D95)+LN(0.4587*D95)</f>
        <v>31.864196731342119</v>
      </c>
      <c r="E96" s="37">
        <f>(0.124*(E8/E92)*E95)+LN(0.4587*E95)</f>
        <v>31.864196731342119</v>
      </c>
      <c r="F96" s="9"/>
    </row>
    <row r="97" spans="1:14" x14ac:dyDescent="0.2">
      <c r="A97" s="9" t="s">
        <v>138</v>
      </c>
      <c r="B97" s="108" t="s">
        <v>10</v>
      </c>
      <c r="C97" s="118">
        <f>(1/(0.8686*LN((0.4587*C95)/(C96^(C96/(C96+1))))))^2</f>
        <v>1.5152441888646881E-2</v>
      </c>
      <c r="D97" s="130">
        <f>(1/(0.8686*LN((0.4587*D95)/(D96^(D96/(D96+1))))))^2</f>
        <v>8.8278776181278818E-3</v>
      </c>
      <c r="E97" s="38">
        <f>(1/(0.8686*LN((0.4587*E95)/(E96^(E96/(E96+1))))))^2</f>
        <v>8.8278776181278818E-3</v>
      </c>
    </row>
    <row r="98" spans="1:14" x14ac:dyDescent="0.2">
      <c r="A98" s="9" t="s">
        <v>186</v>
      </c>
      <c r="B98" s="108" t="s">
        <v>96</v>
      </c>
      <c r="C98" s="122">
        <f>(0.35*C97*C94*(C93^2)*C3)/2</f>
        <v>55.787961763503027</v>
      </c>
      <c r="D98" s="126">
        <f>(D97*D94*(D93^2)*D3)/2</f>
        <v>6150.4187644381382</v>
      </c>
      <c r="E98" s="43">
        <f>(E97*E94*(E93^2)*E3)/2</f>
        <v>6150.4187644381382</v>
      </c>
      <c r="G98" s="2"/>
      <c r="H98" s="2"/>
      <c r="I98" s="18"/>
      <c r="J98" s="18"/>
      <c r="K98" s="18"/>
      <c r="L98" s="18"/>
      <c r="M98" s="18"/>
      <c r="N98" s="18"/>
    </row>
    <row r="99" spans="1:14" x14ac:dyDescent="0.2">
      <c r="A99" s="19" t="s">
        <v>206</v>
      </c>
      <c r="B99" s="108" t="s">
        <v>68</v>
      </c>
      <c r="C99" s="119">
        <f>(((C90*(2*C98))/(C10*C12*C13))*C91)/10^6</f>
        <v>39.728244509398138</v>
      </c>
      <c r="D99" s="40" t="s">
        <v>10</v>
      </c>
      <c r="E99" s="40" t="s">
        <v>10</v>
      </c>
    </row>
    <row r="100" spans="1:14" x14ac:dyDescent="0.2">
      <c r="A100" s="19" t="s">
        <v>156</v>
      </c>
      <c r="B100" s="108" t="s">
        <v>68</v>
      </c>
      <c r="C100" s="115">
        <f>0.8*(60/(264.172*3600))*C91*C16</f>
        <v>6478895.7843482951</v>
      </c>
      <c r="D100" s="40" t="s">
        <v>10</v>
      </c>
      <c r="E100" s="40" t="s">
        <v>10</v>
      </c>
    </row>
    <row r="101" spans="1:14" x14ac:dyDescent="0.2">
      <c r="A101" s="25" t="s">
        <v>207</v>
      </c>
      <c r="B101" s="108" t="s">
        <v>96</v>
      </c>
      <c r="C101" s="30">
        <f>75*6894.75729</f>
        <v>517106.79674999998</v>
      </c>
      <c r="D101" s="23">
        <f>100*6894.75729</f>
        <v>689475.72899999993</v>
      </c>
      <c r="E101" s="23">
        <f>100*6894.75729</f>
        <v>689475.72899999993</v>
      </c>
    </row>
    <row r="102" spans="1:14" x14ac:dyDescent="0.2">
      <c r="A102" s="19" t="s">
        <v>132</v>
      </c>
      <c r="B102" s="107" t="s">
        <v>68</v>
      </c>
      <c r="C102" s="123">
        <f>(((C90*(2*C98+C101))/(C10*C12*C13))*C91)/10^6</f>
        <v>184163.18973468652</v>
      </c>
      <c r="D102" s="123">
        <f>(((D90*(2*D98+D101))/(D10*D12*D13))*D91)/10^6</f>
        <v>174914.68057379531</v>
      </c>
      <c r="E102" s="23">
        <f>(((E90*(2*E98+E101))/(E10*E12*E13))*E91)/10^6</f>
        <v>162420.77481852422</v>
      </c>
    </row>
    <row r="103" spans="1:14" x14ac:dyDescent="0.2">
      <c r="A103" s="1" t="s">
        <v>135</v>
      </c>
      <c r="B103" s="108" t="s">
        <v>2</v>
      </c>
      <c r="C103" s="14">
        <f>4.778*0.0254</f>
        <v>0.12136119999999999</v>
      </c>
      <c r="D103" s="14">
        <f>4.778*0.0254</f>
        <v>0.12136119999999999</v>
      </c>
      <c r="E103" s="14">
        <f>4.778*0.0254</f>
        <v>0.12136119999999999</v>
      </c>
    </row>
    <row r="104" spans="1:14" x14ac:dyDescent="0.2">
      <c r="A104" s="1" t="s">
        <v>108</v>
      </c>
      <c r="B104" s="108" t="s">
        <v>92</v>
      </c>
      <c r="C104" s="124">
        <f>C90/(PI()*(C103/2)^2)</f>
        <v>2.2906653707591151</v>
      </c>
      <c r="D104" s="124">
        <f>D90/(PI()*(D103/2)^2)</f>
        <v>18.325322966072921</v>
      </c>
      <c r="E104" s="14">
        <f>E90/(PI()*(E103/2)^2)</f>
        <v>18.325322966072921</v>
      </c>
    </row>
    <row r="105" spans="1:14" x14ac:dyDescent="0.2">
      <c r="A105" s="1" t="s">
        <v>93</v>
      </c>
      <c r="B105" s="108" t="s">
        <v>2</v>
      </c>
      <c r="C105" s="18">
        <v>2000</v>
      </c>
      <c r="D105" s="18">
        <v>2000</v>
      </c>
      <c r="E105" s="18">
        <v>2000</v>
      </c>
    </row>
    <row r="106" spans="1:14" x14ac:dyDescent="0.2">
      <c r="A106" s="1" t="s">
        <v>208</v>
      </c>
      <c r="B106" s="108" t="s">
        <v>2</v>
      </c>
      <c r="C106" s="18">
        <v>1067</v>
      </c>
      <c r="D106" s="18">
        <v>1067</v>
      </c>
      <c r="E106" s="18">
        <v>1067</v>
      </c>
    </row>
    <row r="107" spans="1:14" x14ac:dyDescent="0.2">
      <c r="A107" s="1" t="s">
        <v>140</v>
      </c>
      <c r="B107" s="108" t="s">
        <v>10</v>
      </c>
      <c r="C107" s="125">
        <f>(C104*C103*AVERAGE(C3:C4))/AVERAGE(C5:C6)</f>
        <v>432539.21878301102</v>
      </c>
      <c r="D107" s="125">
        <f>(D104*D103*AVERAGE(D3:D4))/AVERAGE(D5:D6)</f>
        <v>18955388.394890398</v>
      </c>
      <c r="E107" s="42">
        <f>(E104*E103*AVERAGE(E3:E4))/AVERAGE(E5:E6)</f>
        <v>18955388.394890398</v>
      </c>
    </row>
    <row r="108" spans="1:14" x14ac:dyDescent="0.2">
      <c r="A108" s="9" t="s">
        <v>141</v>
      </c>
      <c r="B108" s="108"/>
      <c r="C108" s="126">
        <f>0.124*(C9/C103)*C107+LN(0.4587*C107)</f>
        <v>32.412591338681523</v>
      </c>
      <c r="D108" s="126">
        <f>0.124*(D9/D103)*D107+LN(0.4587*D107)</f>
        <v>901.84961959133113</v>
      </c>
      <c r="E108" s="43">
        <f>0.124*(E9/E103)*E107+LN(0.4587*E107)</f>
        <v>901.84961959133113</v>
      </c>
    </row>
    <row r="109" spans="1:14" x14ac:dyDescent="0.2">
      <c r="A109" s="9" t="s">
        <v>142</v>
      </c>
      <c r="B109" s="108" t="s">
        <v>10</v>
      </c>
      <c r="C109" s="124">
        <f>(1/(0.8686*LN((0.4587*C107)/(C108^(C108/(C108+1))))))^2</f>
        <v>1.7024158138134828E-2</v>
      </c>
      <c r="D109" s="124">
        <f>(1/(0.8686*LN((0.4587*D107)/(D108^(D108/(D108+1))))))^2</f>
        <v>1.5723501700540026E-2</v>
      </c>
      <c r="E109" s="14">
        <f>(1/(0.8686*LN((0.4587*E107)/(E108^(E108/(E108+1))))))^2</f>
        <v>1.5723501700540026E-2</v>
      </c>
    </row>
    <row r="110" spans="1:14" x14ac:dyDescent="0.2">
      <c r="A110" s="9" t="s">
        <v>143</v>
      </c>
      <c r="B110" s="108" t="s">
        <v>96</v>
      </c>
      <c r="C110" s="125">
        <f>0.35*(C109*(C105+C106)*(C104^2)*AVERAGE(C3:C4))/(2*C103)</f>
        <v>391178.57322228042</v>
      </c>
      <c r="D110" s="125">
        <f>(D109*(D105+D106)*(D104^2)*AVERAGE(D3:D4))/(2*D103)</f>
        <v>48962186.58832816</v>
      </c>
      <c r="E110" s="42">
        <f>(E109*(E105+E106)*(E104^2)*AVERAGE(E3:E4))/(2*E103)</f>
        <v>48962186.58832816</v>
      </c>
    </row>
    <row r="111" spans="1:14" x14ac:dyDescent="0.2">
      <c r="A111" s="9" t="s">
        <v>189</v>
      </c>
      <c r="B111" s="108" t="s">
        <v>96</v>
      </c>
      <c r="C111" s="125">
        <f>C101</f>
        <v>517106.79674999998</v>
      </c>
      <c r="D111" s="125">
        <f>(200*6894.75729)+D101</f>
        <v>2068427.1869999999</v>
      </c>
      <c r="E111" s="42">
        <f>(200*6894.75729)+E101</f>
        <v>2068427.1869999999</v>
      </c>
    </row>
    <row r="112" spans="1:14" x14ac:dyDescent="0.2">
      <c r="A112" s="9" t="s">
        <v>187</v>
      </c>
      <c r="B112" s="108" t="s">
        <v>96</v>
      </c>
      <c r="C112" s="42">
        <f>45.22*10^6</f>
        <v>45220000</v>
      </c>
      <c r="D112" s="42">
        <f>45.22*10^6</f>
        <v>45220000</v>
      </c>
      <c r="E112" s="42">
        <f>45.22*10^6</f>
        <v>45220000</v>
      </c>
    </row>
    <row r="113" spans="1:14" x14ac:dyDescent="0.2">
      <c r="A113" s="9" t="s">
        <v>188</v>
      </c>
      <c r="B113" s="108" t="s">
        <v>96</v>
      </c>
      <c r="C113" s="125">
        <f>AVERAGE(C3:C4)*9.81*C105</f>
        <v>19427331.600000001</v>
      </c>
      <c r="D113" s="125">
        <f>AVERAGE(D3:D4)*9.81*D105</f>
        <v>14398038.900000002</v>
      </c>
      <c r="E113" s="42">
        <f>AVERAGE(E3:E4)*9.81*E105</f>
        <v>14398038.900000002</v>
      </c>
    </row>
    <row r="114" spans="1:14" x14ac:dyDescent="0.2">
      <c r="A114" s="21" t="s">
        <v>133</v>
      </c>
      <c r="B114" s="107" t="s">
        <v>68</v>
      </c>
      <c r="C114" s="123">
        <f>(((C90*((C112-C111)+(2*C110)-(C113)))/(C11*C12*C13))*C91)/(10^6)</f>
        <v>7216458.8753009532</v>
      </c>
      <c r="D114" s="123">
        <f>(((D90*((D112-D111)+(2*D110)-(D113)))/(D11*D12*D13))*D91)/(10^6)</f>
        <v>24557480.571152851</v>
      </c>
      <c r="E114" s="23">
        <f>(((E90*((E112-E111)+(2*E110)-(E113)))/(E11*E12*E13))*E91)/(10^6)</f>
        <v>22803374.816070504</v>
      </c>
    </row>
    <row r="115" spans="1:14" x14ac:dyDescent="0.2">
      <c r="A115" s="22" t="s">
        <v>190</v>
      </c>
      <c r="B115" s="107" t="s">
        <v>15</v>
      </c>
      <c r="C115" s="127">
        <f>(C99+C100+C102+C114)/C16</f>
        <v>370.71467888964861</v>
      </c>
      <c r="D115" s="127">
        <f>(D102+D114)/D16</f>
        <v>660.58748001406639</v>
      </c>
      <c r="E115" s="31">
        <f>(E102+E114)/E16</f>
        <v>613.40266001306168</v>
      </c>
      <c r="F115" s="87"/>
      <c r="G115" s="87"/>
      <c r="H115" s="87"/>
      <c r="I115" s="87"/>
    </row>
    <row r="116" spans="1:14" x14ac:dyDescent="0.2">
      <c r="A116" s="16" t="s">
        <v>109</v>
      </c>
      <c r="B116" s="110"/>
      <c r="C116" s="11"/>
      <c r="D116" s="11"/>
      <c r="E116" s="11"/>
    </row>
    <row r="117" spans="1:14" x14ac:dyDescent="0.2">
      <c r="A117" s="1" t="s">
        <v>296</v>
      </c>
      <c r="B117" s="107" t="s">
        <v>52</v>
      </c>
      <c r="C117" s="39">
        <v>19.333333333333332</v>
      </c>
      <c r="D117" s="2" t="s">
        <v>44</v>
      </c>
      <c r="E117" s="2" t="s">
        <v>44</v>
      </c>
    </row>
    <row r="118" spans="1:14" x14ac:dyDescent="0.2">
      <c r="A118" s="1" t="s">
        <v>294</v>
      </c>
      <c r="B118" s="107"/>
      <c r="C118" s="2" t="s">
        <v>44</v>
      </c>
      <c r="D118" s="8">
        <v>75</v>
      </c>
      <c r="E118" s="8">
        <v>50</v>
      </c>
      <c r="F118" s="68"/>
      <c r="G118" s="68"/>
      <c r="H118" s="68"/>
      <c r="I118" s="68"/>
    </row>
    <row r="119" spans="1:14" x14ac:dyDescent="0.2">
      <c r="A119" s="9" t="s">
        <v>246</v>
      </c>
      <c r="B119" s="107" t="s">
        <v>15</v>
      </c>
      <c r="C119" s="123">
        <f>(C117/100)*C72</f>
        <v>17564.314158957044</v>
      </c>
      <c r="D119" s="23" t="s">
        <v>10</v>
      </c>
      <c r="E119" s="23" t="s">
        <v>10</v>
      </c>
      <c r="F119" s="64"/>
      <c r="G119" s="64"/>
      <c r="H119" s="64"/>
      <c r="I119" s="64"/>
    </row>
    <row r="120" spans="1:14" x14ac:dyDescent="0.2">
      <c r="A120" s="9" t="s">
        <v>57</v>
      </c>
      <c r="B120" s="107" t="s">
        <v>15</v>
      </c>
      <c r="C120" s="123">
        <f>0.98*C119</f>
        <v>17213.027875777901</v>
      </c>
      <c r="D120" s="2" t="s">
        <v>44</v>
      </c>
      <c r="E120" s="2" t="s">
        <v>44</v>
      </c>
      <c r="F120" s="9"/>
    </row>
    <row r="121" spans="1:14" x14ac:dyDescent="0.2">
      <c r="A121" s="9" t="s">
        <v>58</v>
      </c>
      <c r="B121" s="107" t="s">
        <v>15</v>
      </c>
      <c r="C121" s="2">
        <v>30</v>
      </c>
      <c r="D121" s="2" t="s">
        <v>44</v>
      </c>
      <c r="E121" s="2" t="s">
        <v>44</v>
      </c>
    </row>
    <row r="122" spans="1:14" x14ac:dyDescent="0.2">
      <c r="A122" s="9" t="s">
        <v>59</v>
      </c>
      <c r="B122" s="107" t="s">
        <v>10</v>
      </c>
      <c r="C122" s="128">
        <f>ROUNDUP(C120/C121,0)</f>
        <v>574</v>
      </c>
      <c r="D122" s="2" t="s">
        <v>44</v>
      </c>
      <c r="E122" s="2" t="s">
        <v>44</v>
      </c>
    </row>
    <row r="123" spans="1:14" x14ac:dyDescent="0.2">
      <c r="A123" s="72" t="s">
        <v>300</v>
      </c>
      <c r="B123" s="107" t="s">
        <v>4</v>
      </c>
      <c r="C123" s="8">
        <v>11.263</v>
      </c>
      <c r="D123" s="2" t="s">
        <v>44</v>
      </c>
      <c r="E123" s="2" t="s">
        <v>44</v>
      </c>
      <c r="J123" s="9"/>
    </row>
    <row r="124" spans="1:14" x14ac:dyDescent="0.2">
      <c r="A124" s="9" t="s">
        <v>61</v>
      </c>
      <c r="B124" s="107" t="s">
        <v>15</v>
      </c>
      <c r="C124" s="123">
        <f>0.8*C120/10</f>
        <v>1377.0422300622322</v>
      </c>
      <c r="D124" s="2" t="s">
        <v>44</v>
      </c>
      <c r="E124" s="2" t="s">
        <v>44</v>
      </c>
      <c r="K124" s="3"/>
      <c r="L124" s="3"/>
      <c r="M124" s="3"/>
      <c r="N124" s="3"/>
    </row>
    <row r="125" spans="1:14" x14ac:dyDescent="0.2">
      <c r="A125" s="9" t="s">
        <v>60</v>
      </c>
      <c r="B125" s="107" t="s">
        <v>10</v>
      </c>
      <c r="C125" s="128">
        <f>ROUNDUP(C124/C121,0)</f>
        <v>46</v>
      </c>
      <c r="D125" s="2" t="s">
        <v>44</v>
      </c>
      <c r="E125" s="2" t="s">
        <v>44</v>
      </c>
      <c r="K125" s="3"/>
      <c r="L125" s="3"/>
      <c r="M125" s="3"/>
      <c r="N125" s="3"/>
    </row>
    <row r="126" spans="1:14" x14ac:dyDescent="0.2">
      <c r="A126" s="9" t="s">
        <v>62</v>
      </c>
      <c r="B126" s="107" t="s">
        <v>4</v>
      </c>
      <c r="C126" s="8">
        <v>167.5</v>
      </c>
      <c r="D126" s="2" t="s">
        <v>44</v>
      </c>
      <c r="E126" s="2" t="s">
        <v>44</v>
      </c>
    </row>
    <row r="127" spans="1:14" x14ac:dyDescent="0.2">
      <c r="A127" s="1" t="s">
        <v>144</v>
      </c>
      <c r="B127" s="108" t="s">
        <v>125</v>
      </c>
      <c r="C127" s="123">
        <f>C122*C123+C125*C126</f>
        <v>14169.962</v>
      </c>
      <c r="D127" s="2" t="s">
        <v>44</v>
      </c>
      <c r="E127" s="2" t="s">
        <v>44</v>
      </c>
    </row>
    <row r="128" spans="1:14" x14ac:dyDescent="0.2">
      <c r="A128" s="9" t="s">
        <v>110</v>
      </c>
      <c r="B128" s="107" t="s">
        <v>15</v>
      </c>
      <c r="C128" s="127">
        <f>C127/C43</f>
        <v>5.6340965881307659</v>
      </c>
      <c r="D128" s="2" t="s">
        <v>44</v>
      </c>
      <c r="E128" s="2" t="s">
        <v>44</v>
      </c>
    </row>
    <row r="129" spans="1:5" x14ac:dyDescent="0.2">
      <c r="A129" s="9" t="s">
        <v>145</v>
      </c>
      <c r="B129" s="107" t="s">
        <v>2</v>
      </c>
      <c r="C129" s="2">
        <f>2*0.0254</f>
        <v>5.0799999999999998E-2</v>
      </c>
      <c r="D129" s="2" t="s">
        <v>44</v>
      </c>
      <c r="E129" s="2" t="s">
        <v>44</v>
      </c>
    </row>
    <row r="130" spans="1:5" x14ac:dyDescent="0.2">
      <c r="A130" s="9" t="s">
        <v>146</v>
      </c>
      <c r="B130" s="107" t="s">
        <v>70</v>
      </c>
      <c r="C130" s="35">
        <f>(50/264.172)/60</f>
        <v>3.1545104452149861E-3</v>
      </c>
      <c r="D130" s="2" t="s">
        <v>44</v>
      </c>
      <c r="E130" s="2" t="s">
        <v>44</v>
      </c>
    </row>
    <row r="131" spans="1:5" x14ac:dyDescent="0.2">
      <c r="A131" s="9" t="s">
        <v>147</v>
      </c>
      <c r="B131" s="107" t="s">
        <v>92</v>
      </c>
      <c r="C131" s="127">
        <f>C130/(PI()*(C129/2)^2)</f>
        <v>1.5563764969650338</v>
      </c>
      <c r="D131" s="2" t="s">
        <v>44</v>
      </c>
      <c r="E131" s="2" t="s">
        <v>44</v>
      </c>
    </row>
    <row r="132" spans="1:5" x14ac:dyDescent="0.2">
      <c r="A132" s="9" t="s">
        <v>148</v>
      </c>
      <c r="B132" s="107"/>
      <c r="C132" s="123">
        <f>(C131*C129*C3)/C5</f>
        <v>88573.806139312961</v>
      </c>
      <c r="D132" s="2" t="s">
        <v>44</v>
      </c>
      <c r="E132" s="2" t="s">
        <v>44</v>
      </c>
    </row>
    <row r="133" spans="1:5" x14ac:dyDescent="0.2">
      <c r="A133" s="1" t="s">
        <v>150</v>
      </c>
      <c r="B133" s="108"/>
      <c r="C133" s="127">
        <f>0.124*($C$8/C129)*C132+LN(0.4587*C132)</f>
        <v>10.941727132573286</v>
      </c>
      <c r="D133" s="2" t="s">
        <v>44</v>
      </c>
      <c r="E133" s="2" t="s">
        <v>44</v>
      </c>
    </row>
    <row r="134" spans="1:5" x14ac:dyDescent="0.2">
      <c r="A134" s="9" t="s">
        <v>149</v>
      </c>
      <c r="B134" s="108"/>
      <c r="C134" s="124">
        <f>(1/(0.8686*LN((0.4587*C132)/(C133^(C133/(C133+1))))))^2</f>
        <v>1.8695443509667644E-2</v>
      </c>
      <c r="D134" s="2" t="s">
        <v>44</v>
      </c>
      <c r="E134" s="2" t="s">
        <v>44</v>
      </c>
    </row>
    <row r="135" spans="1:5" x14ac:dyDescent="0.2">
      <c r="A135" s="9" t="s">
        <v>151</v>
      </c>
      <c r="B135" s="108" t="s">
        <v>96</v>
      </c>
      <c r="C135" s="125">
        <f>(C134*C23*(C131^2)*C3)/2</f>
        <v>20643.734244209234</v>
      </c>
      <c r="D135" s="2" t="s">
        <v>44</v>
      </c>
      <c r="E135" s="2" t="s">
        <v>44</v>
      </c>
    </row>
    <row r="136" spans="1:5" x14ac:dyDescent="0.2">
      <c r="A136" s="19" t="s">
        <v>152</v>
      </c>
      <c r="B136" s="108" t="s">
        <v>68</v>
      </c>
      <c r="C136" s="125">
        <f>(((C130*(C135+0.1*C135))/(C10*C12*C13))*($C$119/C130))/(10^6)</f>
        <v>1563.207278256875</v>
      </c>
      <c r="D136" s="2" t="s">
        <v>44</v>
      </c>
      <c r="E136" s="2" t="s">
        <v>44</v>
      </c>
    </row>
    <row r="137" spans="1:5" x14ac:dyDescent="0.2">
      <c r="A137" s="1" t="s">
        <v>224</v>
      </c>
      <c r="B137" s="108" t="s">
        <v>2</v>
      </c>
      <c r="C137" s="2">
        <f>4*0.0254</f>
        <v>0.1016</v>
      </c>
      <c r="D137" s="2" t="s">
        <v>44</v>
      </c>
      <c r="E137" s="2" t="s">
        <v>44</v>
      </c>
    </row>
    <row r="138" spans="1:5" x14ac:dyDescent="0.2">
      <c r="A138" s="72" t="s">
        <v>301</v>
      </c>
      <c r="B138" s="108" t="s">
        <v>70</v>
      </c>
      <c r="C138" s="38">
        <f>(500/264.172)/60</f>
        <v>3.1545104452149857E-2</v>
      </c>
      <c r="D138" s="2" t="s">
        <v>44</v>
      </c>
      <c r="E138" s="2" t="s">
        <v>44</v>
      </c>
    </row>
    <row r="139" spans="1:5" x14ac:dyDescent="0.2">
      <c r="A139" s="72" t="s">
        <v>302</v>
      </c>
      <c r="B139" s="108" t="s">
        <v>92</v>
      </c>
      <c r="C139" s="129">
        <f>C138/(PI()*(C137/2)^2)</f>
        <v>3.890941242412584</v>
      </c>
      <c r="D139" s="2" t="s">
        <v>44</v>
      </c>
      <c r="E139" s="2" t="s">
        <v>44</v>
      </c>
    </row>
    <row r="140" spans="1:5" x14ac:dyDescent="0.2">
      <c r="A140" s="72" t="s">
        <v>303</v>
      </c>
      <c r="B140" s="108"/>
      <c r="C140" s="125">
        <f>(C139*C137*C3)/C5</f>
        <v>442869.03069656476</v>
      </c>
      <c r="D140" s="2" t="s">
        <v>44</v>
      </c>
      <c r="E140" s="2" t="s">
        <v>44</v>
      </c>
    </row>
    <row r="141" spans="1:5" x14ac:dyDescent="0.2">
      <c r="A141" s="73" t="s">
        <v>304</v>
      </c>
      <c r="B141" s="108"/>
      <c r="C141" s="127">
        <f>0.124*($C$8/C137)*C140+LN(0.4587*C140)</f>
        <v>13.045406883264752</v>
      </c>
      <c r="D141" s="2" t="s">
        <v>44</v>
      </c>
      <c r="E141" s="2" t="s">
        <v>44</v>
      </c>
    </row>
    <row r="142" spans="1:5" x14ac:dyDescent="0.2">
      <c r="A142" s="72" t="s">
        <v>305</v>
      </c>
      <c r="B142" s="108"/>
      <c r="C142" s="124">
        <f>(1/(0.8686*LN((0.4587*C140)/(C141^(C141/(C141+1))))))^2</f>
        <v>1.3699805169288199E-2</v>
      </c>
      <c r="D142" s="2" t="s">
        <v>44</v>
      </c>
      <c r="E142" s="2" t="s">
        <v>44</v>
      </c>
    </row>
    <row r="143" spans="1:5" x14ac:dyDescent="0.2">
      <c r="A143" s="72" t="s">
        <v>306</v>
      </c>
      <c r="B143" s="108" t="s">
        <v>96</v>
      </c>
      <c r="C143" s="125">
        <f>(C142*C94*(C139^2)*C3)/2</f>
        <v>1033.9765233344106</v>
      </c>
      <c r="D143" s="2" t="s">
        <v>44</v>
      </c>
      <c r="E143" s="2" t="s">
        <v>44</v>
      </c>
    </row>
    <row r="144" spans="1:5" x14ac:dyDescent="0.2">
      <c r="A144" s="19" t="s">
        <v>221</v>
      </c>
      <c r="B144" s="108" t="s">
        <v>68</v>
      </c>
      <c r="C144" s="126">
        <f>(((C138*(C143+0.1*C143))/(C10*C12*C13))*($C$119/C138))/(10^6)</f>
        <v>78.29589393578263</v>
      </c>
      <c r="D144" s="2" t="s">
        <v>44</v>
      </c>
      <c r="E144" s="2" t="s">
        <v>44</v>
      </c>
    </row>
    <row r="145" spans="1:14" x14ac:dyDescent="0.2">
      <c r="A145" s="22" t="s">
        <v>153</v>
      </c>
      <c r="B145" s="108" t="s">
        <v>15</v>
      </c>
      <c r="C145" s="130">
        <f>(C136+C144)/C16</f>
        <v>4.3843567633350899E-2</v>
      </c>
      <c r="D145" s="2" t="s">
        <v>44</v>
      </c>
      <c r="E145" s="2" t="s">
        <v>44</v>
      </c>
    </row>
    <row r="146" spans="1:14" x14ac:dyDescent="0.2">
      <c r="A146" s="9" t="s">
        <v>244</v>
      </c>
      <c r="B146" s="107" t="s">
        <v>11</v>
      </c>
      <c r="C146" s="23" t="s">
        <v>44</v>
      </c>
      <c r="D146" s="123">
        <f>(D118/100)*D74</f>
        <v>49114072.638592504</v>
      </c>
      <c r="E146" s="2">
        <f>(E118/100)*E74</f>
        <v>30403949.728652496</v>
      </c>
    </row>
    <row r="147" spans="1:14" x14ac:dyDescent="0.2">
      <c r="A147" s="9" t="s">
        <v>251</v>
      </c>
      <c r="B147" s="107" t="s">
        <v>165</v>
      </c>
      <c r="C147" s="23" t="s">
        <v>44</v>
      </c>
      <c r="D147" s="23">
        <v>1</v>
      </c>
      <c r="E147" s="2">
        <v>1</v>
      </c>
    </row>
    <row r="148" spans="1:14" x14ac:dyDescent="0.2">
      <c r="A148" s="9" t="s">
        <v>191</v>
      </c>
      <c r="B148" s="107" t="s">
        <v>165</v>
      </c>
      <c r="C148" s="7">
        <v>2</v>
      </c>
      <c r="D148" s="7">
        <v>2</v>
      </c>
      <c r="E148" s="7">
        <v>2</v>
      </c>
    </row>
    <row r="149" spans="1:14" x14ac:dyDescent="0.2">
      <c r="A149" s="9" t="s">
        <v>297</v>
      </c>
      <c r="B149" s="108" t="s">
        <v>171</v>
      </c>
      <c r="C149" s="26">
        <f>(950/264.172)*60*24</f>
        <v>5178.4443468649206</v>
      </c>
      <c r="D149" s="23" t="s">
        <v>44</v>
      </c>
      <c r="E149" s="23" t="s">
        <v>44</v>
      </c>
    </row>
    <row r="150" spans="1:14" x14ac:dyDescent="0.2">
      <c r="A150" s="9" t="s">
        <v>295</v>
      </c>
      <c r="B150" s="108" t="s">
        <v>171</v>
      </c>
      <c r="C150" s="23" t="s">
        <v>44</v>
      </c>
      <c r="D150" s="26">
        <f>(10*10^6)/35.3147</f>
        <v>283168.19907857064</v>
      </c>
      <c r="E150" s="26">
        <f>(10*10^6)/35.3147</f>
        <v>283168.19907857064</v>
      </c>
      <c r="F150" s="68"/>
      <c r="G150" s="68"/>
      <c r="H150" s="68"/>
    </row>
    <row r="151" spans="1:14" x14ac:dyDescent="0.2">
      <c r="A151" s="46" t="s">
        <v>245</v>
      </c>
      <c r="B151" s="108" t="s">
        <v>15</v>
      </c>
      <c r="C151" s="2" t="s">
        <v>44</v>
      </c>
      <c r="D151" s="123">
        <f>D150+((1+0.4)/2)*D150*D148</f>
        <v>679603.67778856959</v>
      </c>
      <c r="E151" s="30">
        <f>E150+((1+0.4)/2)*E150*E148</f>
        <v>679603.67778856959</v>
      </c>
      <c r="F151" s="66"/>
      <c r="G151" s="66"/>
      <c r="H151" s="66"/>
    </row>
    <row r="152" spans="1:14" x14ac:dyDescent="0.2">
      <c r="A152" s="46" t="s">
        <v>266</v>
      </c>
      <c r="B152" s="108" t="s">
        <v>11</v>
      </c>
      <c r="C152" s="2" t="s">
        <v>44</v>
      </c>
      <c r="D152" s="123">
        <f>D151*D17</f>
        <v>1228723.4494417338</v>
      </c>
      <c r="E152" s="30">
        <f>E151*E17</f>
        <v>1228723.4494417338</v>
      </c>
    </row>
    <row r="153" spans="1:14" x14ac:dyDescent="0.2">
      <c r="A153" s="1" t="s">
        <v>292</v>
      </c>
      <c r="B153" s="108" t="s">
        <v>15</v>
      </c>
      <c r="C153" s="2" t="s">
        <v>44</v>
      </c>
      <c r="D153" s="123">
        <f>((0+0.6)/2)*D150*D148</f>
        <v>169900.91944714237</v>
      </c>
      <c r="E153" s="30">
        <f>((0+0.6)/2)*E150*E148</f>
        <v>169900.91944714237</v>
      </c>
    </row>
    <row r="154" spans="1:14" x14ac:dyDescent="0.2">
      <c r="A154" s="1" t="s">
        <v>192</v>
      </c>
      <c r="B154" s="107" t="s">
        <v>15</v>
      </c>
      <c r="C154" s="131">
        <f>(0.01*C149*C148)</f>
        <v>103.56888693729842</v>
      </c>
      <c r="D154" s="123">
        <f>0.01*D153</f>
        <v>1699.0091944714238</v>
      </c>
      <c r="E154" s="30">
        <f>0.01*E153</f>
        <v>1699.0091944714238</v>
      </c>
    </row>
    <row r="155" spans="1:14" x14ac:dyDescent="0.2">
      <c r="A155" s="1" t="s">
        <v>293</v>
      </c>
      <c r="B155" s="108" t="s">
        <v>15</v>
      </c>
      <c r="C155" s="123">
        <f>0.99*C149*C148</f>
        <v>10253.319806792542</v>
      </c>
      <c r="D155" s="123">
        <f>0.99*D153</f>
        <v>168201.91025267093</v>
      </c>
      <c r="E155" s="30">
        <f>0.99*E153</f>
        <v>168201.91025267093</v>
      </c>
      <c r="K155" s="2"/>
      <c r="L155" s="2"/>
      <c r="M155" s="2"/>
      <c r="N155" s="2"/>
    </row>
    <row r="156" spans="1:14" x14ac:dyDescent="0.2">
      <c r="A156" s="16" t="s">
        <v>64</v>
      </c>
      <c r="B156" s="110"/>
      <c r="C156" s="11"/>
      <c r="D156" s="11"/>
      <c r="E156" s="11"/>
      <c r="K156" s="2"/>
      <c r="L156" s="2"/>
      <c r="M156" s="2"/>
      <c r="N156" s="2"/>
    </row>
    <row r="157" spans="1:14" x14ac:dyDescent="0.2">
      <c r="A157" s="1" t="s">
        <v>193</v>
      </c>
      <c r="B157" s="107" t="s">
        <v>194</v>
      </c>
      <c r="C157" s="23">
        <v>30</v>
      </c>
      <c r="D157" s="23">
        <v>30</v>
      </c>
      <c r="E157" s="23">
        <v>40</v>
      </c>
    </row>
    <row r="158" spans="1:14" x14ac:dyDescent="0.2">
      <c r="A158" s="1" t="s">
        <v>65</v>
      </c>
      <c r="B158" s="108" t="s">
        <v>15</v>
      </c>
      <c r="C158" s="123">
        <f>C119</f>
        <v>17564.314158957044</v>
      </c>
      <c r="D158" s="2" t="s">
        <v>44</v>
      </c>
      <c r="E158" s="2" t="s">
        <v>44</v>
      </c>
    </row>
    <row r="159" spans="1:14" x14ac:dyDescent="0.2">
      <c r="A159" s="9" t="s">
        <v>66</v>
      </c>
      <c r="B159" s="108" t="s">
        <v>10</v>
      </c>
      <c r="C159" s="123">
        <f>ROUNDUP(C158/C121,0)</f>
        <v>586</v>
      </c>
      <c r="D159" s="2" t="s">
        <v>44</v>
      </c>
      <c r="E159" s="2" t="s">
        <v>44</v>
      </c>
    </row>
    <row r="160" spans="1:14" x14ac:dyDescent="0.2">
      <c r="A160" s="1" t="s">
        <v>67</v>
      </c>
      <c r="B160" s="108" t="s">
        <v>63</v>
      </c>
      <c r="C160" s="128">
        <f>C159*C126</f>
        <v>98155</v>
      </c>
      <c r="D160" s="2" t="s">
        <v>44</v>
      </c>
      <c r="E160" s="2" t="s">
        <v>44</v>
      </c>
    </row>
    <row r="161" spans="1:8" x14ac:dyDescent="0.2">
      <c r="A161" s="1" t="s">
        <v>222</v>
      </c>
      <c r="B161" s="108" t="s">
        <v>15</v>
      </c>
      <c r="C161" s="131">
        <f>C160/C43</f>
        <v>39.027257137879083</v>
      </c>
      <c r="D161" s="2" t="s">
        <v>44</v>
      </c>
      <c r="E161" s="2" t="s">
        <v>44</v>
      </c>
    </row>
    <row r="162" spans="1:8" x14ac:dyDescent="0.2">
      <c r="A162" s="72" t="s">
        <v>307</v>
      </c>
      <c r="B162" s="108" t="s">
        <v>96</v>
      </c>
      <c r="C162" s="131">
        <f>(C142*C94*(C139^2)*C3)/2</f>
        <v>1033.9765233344106</v>
      </c>
      <c r="D162" s="2" t="s">
        <v>44</v>
      </c>
      <c r="E162" s="2" t="s">
        <v>44</v>
      </c>
    </row>
    <row r="163" spans="1:8" x14ac:dyDescent="0.2">
      <c r="A163" s="19" t="s">
        <v>223</v>
      </c>
      <c r="B163" s="108" t="s">
        <v>68</v>
      </c>
      <c r="C163" s="131">
        <f>(((C138*(C162+0.1*C162))/(C10*C12*C13))*(C158/C138))/(10^6)</f>
        <v>78.29589393578263</v>
      </c>
      <c r="D163" s="2" t="s">
        <v>44</v>
      </c>
      <c r="E163" s="2" t="s">
        <v>44</v>
      </c>
    </row>
    <row r="164" spans="1:8" x14ac:dyDescent="0.2">
      <c r="A164" s="22" t="s">
        <v>225</v>
      </c>
      <c r="B164" s="108" t="s">
        <v>15</v>
      </c>
      <c r="C164" s="130">
        <f>C163/C16</f>
        <v>2.0912364833275275E-3</v>
      </c>
      <c r="D164" s="2" t="s">
        <v>44</v>
      </c>
      <c r="E164" s="2" t="s">
        <v>44</v>
      </c>
    </row>
    <row r="165" spans="1:8" x14ac:dyDescent="0.2">
      <c r="A165" s="1" t="s">
        <v>158</v>
      </c>
      <c r="B165" s="108" t="s">
        <v>15</v>
      </c>
      <c r="C165" s="123">
        <f>C158+C124</f>
        <v>18941.356389019275</v>
      </c>
      <c r="D165" s="2" t="s">
        <v>44</v>
      </c>
      <c r="E165" s="2" t="s">
        <v>44</v>
      </c>
    </row>
    <row r="166" spans="1:8" x14ac:dyDescent="0.2">
      <c r="A166" s="9" t="s">
        <v>210</v>
      </c>
      <c r="B166" s="108" t="s">
        <v>171</v>
      </c>
      <c r="C166" s="2" t="s">
        <v>44</v>
      </c>
      <c r="D166" s="30">
        <f>(6*10^6)/35.3147</f>
        <v>169900.9194471424</v>
      </c>
      <c r="E166" s="30">
        <f>(6*10^6)/35.3147</f>
        <v>169900.9194471424</v>
      </c>
    </row>
    <row r="167" spans="1:8" x14ac:dyDescent="0.2">
      <c r="A167" s="1" t="s">
        <v>211</v>
      </c>
      <c r="B167" s="108" t="s">
        <v>165</v>
      </c>
      <c r="C167" s="2" t="s">
        <v>44</v>
      </c>
      <c r="D167" s="7">
        <v>12</v>
      </c>
      <c r="E167" s="7">
        <v>12</v>
      </c>
    </row>
    <row r="168" spans="1:8" x14ac:dyDescent="0.2">
      <c r="A168" s="156" t="s">
        <v>258</v>
      </c>
      <c r="B168" s="108" t="s">
        <v>15</v>
      </c>
      <c r="C168" s="2" t="s">
        <v>44</v>
      </c>
      <c r="D168" s="30">
        <v>395559</v>
      </c>
      <c r="E168" s="30">
        <v>395559</v>
      </c>
    </row>
    <row r="169" spans="1:8" x14ac:dyDescent="0.2">
      <c r="A169" s="156"/>
      <c r="B169" s="108" t="s">
        <v>11</v>
      </c>
      <c r="C169" s="2" t="s">
        <v>44</v>
      </c>
      <c r="D169" s="123">
        <f>D168*D17</f>
        <v>715170.67200000002</v>
      </c>
      <c r="E169" s="30">
        <f>E168*E17</f>
        <v>715170.67200000002</v>
      </c>
      <c r="F169" s="158"/>
      <c r="G169" s="158"/>
      <c r="H169" s="158"/>
    </row>
    <row r="170" spans="1:8" x14ac:dyDescent="0.2">
      <c r="A170" s="156" t="s">
        <v>259</v>
      </c>
      <c r="B170" s="108" t="s">
        <v>15</v>
      </c>
      <c r="C170" s="2" t="s">
        <v>44</v>
      </c>
      <c r="D170" s="3">
        <v>13046</v>
      </c>
      <c r="E170" s="3">
        <v>13046</v>
      </c>
    </row>
    <row r="171" spans="1:8" x14ac:dyDescent="0.2">
      <c r="A171" s="156"/>
      <c r="B171" s="108" t="s">
        <v>11</v>
      </c>
      <c r="C171" s="2" t="s">
        <v>44</v>
      </c>
      <c r="D171" s="128">
        <f>D170*D18</f>
        <v>8851.7109999999993</v>
      </c>
      <c r="E171" s="2">
        <f>E170*E18</f>
        <v>8851.7109999999993</v>
      </c>
    </row>
    <row r="172" spans="1:8" x14ac:dyDescent="0.2">
      <c r="A172" s="86" t="s">
        <v>252</v>
      </c>
      <c r="B172" s="108" t="s">
        <v>15</v>
      </c>
      <c r="C172" s="2" t="s">
        <v>44</v>
      </c>
      <c r="D172" s="30">
        <v>483198</v>
      </c>
      <c r="E172" s="30">
        <v>483198</v>
      </c>
    </row>
    <row r="173" spans="1:8" x14ac:dyDescent="0.2">
      <c r="A173" s="86" t="s">
        <v>253</v>
      </c>
      <c r="B173" s="108" t="s">
        <v>15</v>
      </c>
      <c r="C173" s="2" t="s">
        <v>44</v>
      </c>
      <c r="D173" s="30">
        <v>405150</v>
      </c>
      <c r="E173" s="30">
        <v>405150</v>
      </c>
    </row>
    <row r="174" spans="1:8" x14ac:dyDescent="0.2">
      <c r="A174" s="86" t="s">
        <v>254</v>
      </c>
      <c r="B174" s="108" t="s">
        <v>15</v>
      </c>
      <c r="C174" s="2" t="s">
        <v>44</v>
      </c>
      <c r="D174" s="30">
        <v>144959</v>
      </c>
      <c r="E174" s="30">
        <v>144959</v>
      </c>
    </row>
    <row r="175" spans="1:8" x14ac:dyDescent="0.2">
      <c r="A175" s="86" t="s">
        <v>255</v>
      </c>
      <c r="B175" s="108" t="s">
        <v>15</v>
      </c>
      <c r="C175" s="2" t="s">
        <v>44</v>
      </c>
      <c r="D175" s="30">
        <v>398250</v>
      </c>
      <c r="E175" s="30">
        <v>398250</v>
      </c>
    </row>
    <row r="176" spans="1:8" x14ac:dyDescent="0.2">
      <c r="A176" s="86" t="s">
        <v>256</v>
      </c>
      <c r="B176" s="108" t="s">
        <v>15</v>
      </c>
      <c r="C176" s="2" t="s">
        <v>44</v>
      </c>
      <c r="D176" s="30">
        <v>43488</v>
      </c>
      <c r="E176" s="30">
        <v>43488</v>
      </c>
    </row>
    <row r="177" spans="1:7" x14ac:dyDescent="0.2">
      <c r="A177" s="86" t="s">
        <v>257</v>
      </c>
      <c r="B177" s="108" t="s">
        <v>15</v>
      </c>
      <c r="C177" s="2" t="s">
        <v>44</v>
      </c>
      <c r="D177" s="30">
        <v>396180</v>
      </c>
      <c r="E177" s="30">
        <v>396180</v>
      </c>
    </row>
    <row r="178" spans="1:7" x14ac:dyDescent="0.2">
      <c r="A178" s="86" t="s">
        <v>268</v>
      </c>
      <c r="B178" s="108" t="s">
        <v>270</v>
      </c>
      <c r="C178" s="2" t="s">
        <v>44</v>
      </c>
      <c r="D178" s="123">
        <f>(D172+D174+D176)*D18/1000</f>
        <v>455.71113250000002</v>
      </c>
      <c r="E178" s="30">
        <f>(E172+E174+E176)*E18/1000</f>
        <v>455.71113250000002</v>
      </c>
    </row>
    <row r="179" spans="1:7" x14ac:dyDescent="0.2">
      <c r="A179" s="86" t="s">
        <v>269</v>
      </c>
      <c r="B179" s="108" t="s">
        <v>271</v>
      </c>
      <c r="C179" s="2" t="s">
        <v>44</v>
      </c>
      <c r="D179" s="123">
        <f>(D173+D175+D177)*D17/1000</f>
        <v>2168.8406400000003</v>
      </c>
      <c r="E179" s="30">
        <f>(E173+E175+E177)*E17/1000</f>
        <v>2168.8406400000003</v>
      </c>
    </row>
    <row r="180" spans="1:7" x14ac:dyDescent="0.2">
      <c r="A180" s="1" t="s">
        <v>263</v>
      </c>
      <c r="B180" s="108" t="s">
        <v>264</v>
      </c>
      <c r="C180" s="2" t="s">
        <v>44</v>
      </c>
      <c r="D180" s="7">
        <v>872</v>
      </c>
      <c r="E180" s="7">
        <v>872</v>
      </c>
    </row>
    <row r="181" spans="1:7" x14ac:dyDescent="0.2">
      <c r="A181" s="1" t="s">
        <v>262</v>
      </c>
      <c r="B181" s="108" t="s">
        <v>166</v>
      </c>
      <c r="C181" s="2" t="s">
        <v>44</v>
      </c>
      <c r="D181" s="7">
        <v>317.8</v>
      </c>
      <c r="E181" s="7">
        <v>317.8</v>
      </c>
      <c r="F181" s="69"/>
    </row>
    <row r="182" spans="1:7" x14ac:dyDescent="0.2">
      <c r="A182" s="1" t="s">
        <v>273</v>
      </c>
      <c r="B182" s="108" t="s">
        <v>264</v>
      </c>
      <c r="C182" s="2" t="s">
        <v>44</v>
      </c>
      <c r="D182" s="131">
        <f>D180/($D$13*$D$12)</f>
        <v>2392.3182441700956</v>
      </c>
      <c r="E182" s="54">
        <f>E180/($E$13*$E$12)</f>
        <v>2392.3182441700956</v>
      </c>
      <c r="F182" s="70"/>
    </row>
    <row r="183" spans="1:7" x14ac:dyDescent="0.2">
      <c r="A183" s="1" t="s">
        <v>274</v>
      </c>
      <c r="B183" s="108" t="s">
        <v>166</v>
      </c>
      <c r="C183" s="2" t="s">
        <v>44</v>
      </c>
      <c r="D183" s="131">
        <f>D181/($D$13*$D$12)</f>
        <v>871.87928669410144</v>
      </c>
      <c r="E183" s="54">
        <f>E181/($E$13*$E$12)</f>
        <v>871.87928669410144</v>
      </c>
      <c r="F183" s="70"/>
    </row>
    <row r="184" spans="1:7" x14ac:dyDescent="0.2">
      <c r="A184" s="1" t="s">
        <v>313</v>
      </c>
      <c r="B184" s="108" t="s">
        <v>68</v>
      </c>
      <c r="C184" s="2" t="s">
        <v>44</v>
      </c>
      <c r="D184" s="135">
        <f>(D182*D178+D183*D179)</f>
        <v>2981173.2865075446</v>
      </c>
      <c r="E184" s="1">
        <f>(E182*E178+E183*E179)</f>
        <v>2981173.2865075446</v>
      </c>
      <c r="F184" s="62"/>
      <c r="G184" s="62"/>
    </row>
    <row r="185" spans="1:7" x14ac:dyDescent="0.2">
      <c r="A185" s="22" t="s">
        <v>267</v>
      </c>
      <c r="B185" s="108" t="s">
        <v>15</v>
      </c>
      <c r="C185" s="2" t="s">
        <v>44</v>
      </c>
      <c r="D185" s="131">
        <f>(D182*D178+D183*D179)/D16</f>
        <v>79.625354874667323</v>
      </c>
      <c r="E185" s="54">
        <f>(E182*E178+E183*E179)/E16</f>
        <v>79.625354874667323</v>
      </c>
      <c r="F185" s="65"/>
      <c r="G185" s="62"/>
    </row>
    <row r="186" spans="1:7" x14ac:dyDescent="0.2">
      <c r="A186" s="46" t="s">
        <v>277</v>
      </c>
      <c r="B186" s="108" t="s">
        <v>166</v>
      </c>
      <c r="C186" s="2" t="s">
        <v>44</v>
      </c>
      <c r="D186" s="2" t="s">
        <v>44</v>
      </c>
      <c r="E186" s="30">
        <v>239</v>
      </c>
      <c r="F186" s="65"/>
      <c r="G186" s="62"/>
    </row>
    <row r="187" spans="1:7" x14ac:dyDescent="0.2">
      <c r="A187" s="46" t="s">
        <v>278</v>
      </c>
      <c r="B187" s="108" t="s">
        <v>166</v>
      </c>
      <c r="C187" s="2" t="s">
        <v>44</v>
      </c>
      <c r="D187" s="2" t="s">
        <v>44</v>
      </c>
      <c r="E187" s="30">
        <f>E186/($D$12*$D$13)</f>
        <v>655.69272976680372</v>
      </c>
      <c r="F187" s="62"/>
      <c r="G187" s="62"/>
    </row>
    <row r="188" spans="1:7" x14ac:dyDescent="0.2">
      <c r="A188" s="46" t="s">
        <v>279</v>
      </c>
      <c r="B188" s="108" t="s">
        <v>264</v>
      </c>
      <c r="C188" s="2" t="s">
        <v>44</v>
      </c>
      <c r="D188" s="2" t="s">
        <v>44</v>
      </c>
      <c r="E188" s="30">
        <v>656</v>
      </c>
      <c r="F188" s="62"/>
      <c r="G188" s="62"/>
    </row>
    <row r="189" spans="1:7" x14ac:dyDescent="0.2">
      <c r="A189" s="46" t="s">
        <v>298</v>
      </c>
      <c r="B189" s="108" t="s">
        <v>264</v>
      </c>
      <c r="C189" s="2" t="s">
        <v>44</v>
      </c>
      <c r="D189" s="2" t="s">
        <v>44</v>
      </c>
      <c r="E189" s="30">
        <f>E188/($E$12*$E$13)</f>
        <v>1799.7256515775032</v>
      </c>
      <c r="F189" s="62"/>
      <c r="G189" s="62"/>
    </row>
    <row r="190" spans="1:7" x14ac:dyDescent="0.2">
      <c r="A190" s="1" t="s">
        <v>313</v>
      </c>
      <c r="B190" s="108" t="s">
        <v>68</v>
      </c>
      <c r="C190" s="2" t="s">
        <v>44</v>
      </c>
      <c r="D190" s="2" t="s">
        <v>44</v>
      </c>
      <c r="E190" s="52">
        <f>((E187*($E$169/1000))+($E$171*($E$189/1000)))</f>
        <v>484862.86151989014</v>
      </c>
      <c r="F190" s="62"/>
      <c r="G190" s="62"/>
    </row>
    <row r="191" spans="1:7" x14ac:dyDescent="0.2">
      <c r="A191" s="53" t="s">
        <v>272</v>
      </c>
      <c r="B191" s="108" t="s">
        <v>15</v>
      </c>
      <c r="C191" s="2" t="s">
        <v>44</v>
      </c>
      <c r="D191" s="2" t="s">
        <v>44</v>
      </c>
      <c r="E191" s="52">
        <f>((E187*($E$169/1000))+($E$171*($E$189/1000)))/$E$16</f>
        <v>12.950396942304758</v>
      </c>
      <c r="G191" s="62"/>
    </row>
    <row r="192" spans="1:7" x14ac:dyDescent="0.2">
      <c r="A192" s="1" t="s">
        <v>280</v>
      </c>
      <c r="B192" s="108" t="s">
        <v>15</v>
      </c>
      <c r="C192" s="2" t="s">
        <v>44</v>
      </c>
      <c r="D192" s="2" t="s">
        <v>44</v>
      </c>
      <c r="E192" s="52">
        <f>(E169/E3)+(E171/E19)</f>
        <v>1238.0510434143512</v>
      </c>
      <c r="F192" s="62"/>
      <c r="G192" s="62"/>
    </row>
    <row r="193" spans="1:16" x14ac:dyDescent="0.2">
      <c r="A193" s="1" t="s">
        <v>247</v>
      </c>
      <c r="B193" s="108" t="s">
        <v>10</v>
      </c>
      <c r="C193" s="2" t="s">
        <v>44</v>
      </c>
      <c r="D193" s="2" t="s">
        <v>44</v>
      </c>
      <c r="E193" s="30">
        <f>ROUNDUP(E192/E44,0)</f>
        <v>62</v>
      </c>
      <c r="F193" s="67"/>
      <c r="G193" s="62"/>
    </row>
    <row r="194" spans="1:16" x14ac:dyDescent="0.2">
      <c r="A194" s="1" t="s">
        <v>248</v>
      </c>
      <c r="B194" s="108" t="s">
        <v>125</v>
      </c>
      <c r="C194" s="2" t="s">
        <v>44</v>
      </c>
      <c r="D194" s="2" t="s">
        <v>44</v>
      </c>
      <c r="E194" s="52">
        <f>E193*C123</f>
        <v>698.30600000000004</v>
      </c>
      <c r="F194" s="62"/>
      <c r="G194" s="62"/>
    </row>
    <row r="195" spans="1:16" x14ac:dyDescent="0.2">
      <c r="A195" s="1" t="s">
        <v>249</v>
      </c>
      <c r="B195" s="108" t="s">
        <v>15</v>
      </c>
      <c r="C195" s="2" t="s">
        <v>44</v>
      </c>
      <c r="D195" s="2" t="s">
        <v>44</v>
      </c>
      <c r="E195" s="52">
        <f>E194/E43</f>
        <v>0.27765236435152352</v>
      </c>
      <c r="F195" s="62"/>
      <c r="G195" s="62"/>
    </row>
    <row r="196" spans="1:16" x14ac:dyDescent="0.2">
      <c r="A196" s="1" t="s">
        <v>243</v>
      </c>
      <c r="B196" s="108" t="s">
        <v>241</v>
      </c>
      <c r="C196" s="56">
        <f>(90/(10^5*77.84))*3.6</f>
        <v>4.1623843782117166E-5</v>
      </c>
      <c r="D196" s="56">
        <f t="shared" ref="D196:E196" si="17">(90/(10^5*77.84))*3.6</f>
        <v>4.1623843782117166E-5</v>
      </c>
      <c r="E196" s="56">
        <f t="shared" si="17"/>
        <v>4.1623843782117166E-5</v>
      </c>
      <c r="F196" s="62"/>
      <c r="G196" s="62"/>
    </row>
    <row r="197" spans="1:16" x14ac:dyDescent="0.2">
      <c r="A197" s="1" t="s">
        <v>242</v>
      </c>
      <c r="B197" s="108" t="s">
        <v>68</v>
      </c>
      <c r="C197" s="123">
        <f>C196*C201</f>
        <v>3012.1998987864308</v>
      </c>
      <c r="D197" s="127">
        <f>D196*(D166*D167*D18)</f>
        <v>57.579648600837267</v>
      </c>
      <c r="E197" s="36">
        <f>E196*(E166*E167*E18)</f>
        <v>57.579648600837267</v>
      </c>
      <c r="F197" s="62"/>
      <c r="G197" s="62"/>
    </row>
    <row r="198" spans="1:16" x14ac:dyDescent="0.2">
      <c r="A198" s="22" t="s">
        <v>200</v>
      </c>
      <c r="B198" s="108" t="s">
        <v>15</v>
      </c>
      <c r="C198" s="132">
        <f>(C197)/C16</f>
        <v>8.0454057125705955E-2</v>
      </c>
      <c r="D198" s="136">
        <f>(D197)/D16</f>
        <v>1.5379179647659526E-3</v>
      </c>
      <c r="E198" s="44">
        <f>(E197)/E16</f>
        <v>1.5379179647659526E-3</v>
      </c>
      <c r="F198" s="62"/>
      <c r="G198" s="62"/>
    </row>
    <row r="199" spans="1:16" x14ac:dyDescent="0.2">
      <c r="A199" s="9" t="s">
        <v>282</v>
      </c>
      <c r="B199" s="108" t="s">
        <v>283</v>
      </c>
      <c r="C199" s="52" t="s">
        <v>44</v>
      </c>
      <c r="D199" s="123">
        <f>(D74-D146)</f>
        <v>16371357.546197504</v>
      </c>
      <c r="E199" s="30">
        <f>(E74-E146)</f>
        <v>30403949.728652496</v>
      </c>
      <c r="F199" s="62"/>
      <c r="G199" s="62"/>
    </row>
    <row r="200" spans="1:16" x14ac:dyDescent="0.2">
      <c r="A200" s="9" t="s">
        <v>214</v>
      </c>
      <c r="B200" s="108" t="s">
        <v>212</v>
      </c>
      <c r="C200" s="7">
        <f>(4.35*10^9)/35.3147</f>
        <v>123178166.59917824</v>
      </c>
      <c r="D200" s="137">
        <f>C200*(1+(D202/100))</f>
        <v>188873188.78540662</v>
      </c>
      <c r="E200" s="1">
        <f>C200*(1+(E202/100))</f>
        <v>776022449.5748229</v>
      </c>
      <c r="F200" s="62"/>
      <c r="G200" s="62"/>
    </row>
    <row r="201" spans="1:16" x14ac:dyDescent="0.2">
      <c r="A201" s="9" t="s">
        <v>215</v>
      </c>
      <c r="B201" s="108" t="s">
        <v>11</v>
      </c>
      <c r="C201" s="128">
        <f>C200*C18</f>
        <v>72367172.877017215</v>
      </c>
      <c r="D201" s="123">
        <f>D200*D18</f>
        <v>128150458.59089839</v>
      </c>
      <c r="E201" s="7">
        <f>E200*E18</f>
        <v>526531232.03651732</v>
      </c>
      <c r="F201" s="62"/>
      <c r="G201" s="62"/>
    </row>
    <row r="202" spans="1:16" ht="15" x14ac:dyDescent="0.25">
      <c r="A202" s="9" t="s">
        <v>69</v>
      </c>
      <c r="B202" s="108" t="s">
        <v>52</v>
      </c>
      <c r="C202" s="7" t="s">
        <v>44</v>
      </c>
      <c r="D202" s="32">
        <v>53.333333333333336</v>
      </c>
      <c r="E202" s="32">
        <v>530</v>
      </c>
      <c r="F202" s="62"/>
      <c r="G202" s="61"/>
      <c r="H202" s="3"/>
      <c r="I202" s="3"/>
      <c r="J202" s="3"/>
      <c r="K202" s="3"/>
      <c r="L202" s="3"/>
      <c r="M202" s="3"/>
      <c r="N202" s="3"/>
      <c r="P202" s="45"/>
    </row>
    <row r="203" spans="1:16" ht="15" x14ac:dyDescent="0.25">
      <c r="A203" s="9" t="s">
        <v>239</v>
      </c>
      <c r="B203" s="105" t="s">
        <v>172</v>
      </c>
      <c r="C203" s="30">
        <f>(4.35*10^9*(1085/947.8))/1000</f>
        <v>4979689.807976367</v>
      </c>
      <c r="D203" s="123">
        <f>C203*(1+(D202/100))</f>
        <v>7635524.3722304292</v>
      </c>
      <c r="E203" s="23">
        <f>C203*(1+(E202/100))</f>
        <v>31372045.79025111</v>
      </c>
      <c r="F203" s="80"/>
      <c r="G203" s="62"/>
      <c r="P203" s="45"/>
    </row>
    <row r="204" spans="1:16" ht="15" x14ac:dyDescent="0.25">
      <c r="A204" s="102" t="s">
        <v>240</v>
      </c>
      <c r="B204" s="103" t="s">
        <v>172</v>
      </c>
      <c r="C204" s="133">
        <f>6*C203</f>
        <v>29878138.847858202</v>
      </c>
      <c r="D204" s="133">
        <f>6*D203</f>
        <v>45813146.233382575</v>
      </c>
      <c r="E204" s="55">
        <f>6*E203</f>
        <v>188232274.74150667</v>
      </c>
      <c r="F204" s="62"/>
      <c r="G204" s="62"/>
      <c r="P204" s="45"/>
    </row>
    <row r="205" spans="1:16" ht="15" x14ac:dyDescent="0.25">
      <c r="B205" s="109"/>
      <c r="C205" s="33"/>
      <c r="D205" s="1"/>
      <c r="E205" s="15"/>
      <c r="F205" s="62"/>
      <c r="G205" s="62"/>
      <c r="P205" s="45"/>
    </row>
    <row r="206" spans="1:16" ht="15" x14ac:dyDescent="0.25">
      <c r="A206" s="16" t="s">
        <v>85</v>
      </c>
      <c r="B206" s="104" t="s">
        <v>75</v>
      </c>
      <c r="C206" s="16" t="s">
        <v>230</v>
      </c>
      <c r="D206" s="16" t="s">
        <v>231</v>
      </c>
      <c r="E206" s="16" t="s">
        <v>310</v>
      </c>
      <c r="F206" s="62"/>
      <c r="G206" s="62"/>
      <c r="P206" s="45"/>
    </row>
    <row r="207" spans="1:16" ht="15" x14ac:dyDescent="0.25">
      <c r="A207" s="1" t="s">
        <v>76</v>
      </c>
      <c r="B207" s="108" t="s">
        <v>162</v>
      </c>
      <c r="C207" s="8">
        <v>17.2</v>
      </c>
      <c r="D207" s="8">
        <v>0.83300000000000007</v>
      </c>
      <c r="E207" s="8">
        <v>1.3000000000000008E-2</v>
      </c>
      <c r="F207" s="62"/>
      <c r="G207" s="62"/>
      <c r="P207" s="45"/>
    </row>
    <row r="208" spans="1:16" ht="15" x14ac:dyDescent="0.25">
      <c r="A208" s="1" t="s">
        <v>77</v>
      </c>
      <c r="B208" s="108" t="s">
        <v>162</v>
      </c>
      <c r="C208" s="8">
        <v>88.200000000000074</v>
      </c>
      <c r="D208" s="8">
        <v>3.01</v>
      </c>
      <c r="E208" s="8">
        <v>1.2699999999999999E-2</v>
      </c>
      <c r="F208" s="62"/>
      <c r="G208" s="62"/>
      <c r="P208" s="45"/>
    </row>
    <row r="209" spans="1:16" ht="15" x14ac:dyDescent="0.25">
      <c r="A209" s="1" t="s">
        <v>78</v>
      </c>
      <c r="B209" s="108" t="s">
        <v>162</v>
      </c>
      <c r="C209" s="8">
        <v>52.800000000000004</v>
      </c>
      <c r="D209" s="8">
        <v>1.3700000000000003</v>
      </c>
      <c r="E209" s="8">
        <v>0.13500000000000001</v>
      </c>
      <c r="F209" s="62"/>
      <c r="G209" s="62"/>
      <c r="P209" s="45"/>
    </row>
    <row r="210" spans="1:16" ht="15" x14ac:dyDescent="0.25">
      <c r="A210" s="1" t="s">
        <v>79</v>
      </c>
      <c r="B210" s="108" t="s">
        <v>162</v>
      </c>
      <c r="C210" s="8">
        <v>38.500000000000007</v>
      </c>
      <c r="D210" s="8">
        <v>0.72599999999999998</v>
      </c>
      <c r="E210" s="8">
        <v>2.2600000000000003E-3</v>
      </c>
      <c r="F210" s="62"/>
      <c r="G210" s="62"/>
      <c r="P210" s="45"/>
    </row>
    <row r="211" spans="1:16" ht="15" x14ac:dyDescent="0.25">
      <c r="A211" s="1" t="s">
        <v>80</v>
      </c>
      <c r="B211" s="108" t="s">
        <v>162</v>
      </c>
      <c r="C211" s="8">
        <v>20.399999999999999</v>
      </c>
      <c r="D211" s="8">
        <v>1.3800000000000001</v>
      </c>
      <c r="E211" s="8">
        <v>0.129</v>
      </c>
      <c r="F211" s="62"/>
      <c r="G211" s="62"/>
      <c r="P211" s="45"/>
    </row>
    <row r="212" spans="1:16" ht="15" x14ac:dyDescent="0.25">
      <c r="A212" s="1" t="s">
        <v>81</v>
      </c>
      <c r="B212" s="108" t="s">
        <v>162</v>
      </c>
      <c r="C212" s="8">
        <v>5.8000000000000003E-2</v>
      </c>
      <c r="D212" s="8">
        <v>2.3900000000000002E-3</v>
      </c>
      <c r="E212" s="88">
        <v>1.4199999999999998E-3</v>
      </c>
      <c r="F212" s="62"/>
      <c r="G212" s="62"/>
      <c r="P212" s="45"/>
    </row>
    <row r="213" spans="1:16" ht="15" x14ac:dyDescent="0.25">
      <c r="A213" s="1" t="s">
        <v>87</v>
      </c>
      <c r="B213" s="108" t="s">
        <v>162</v>
      </c>
      <c r="C213" s="8">
        <v>62.799999999999976</v>
      </c>
      <c r="D213" s="8">
        <v>2.02</v>
      </c>
      <c r="E213" s="8">
        <v>1.0000000000000004E-2</v>
      </c>
      <c r="F213" s="62"/>
      <c r="G213" s="62"/>
      <c r="P213" s="45"/>
    </row>
    <row r="214" spans="1:16" ht="15" x14ac:dyDescent="0.25">
      <c r="A214" s="1" t="s">
        <v>88</v>
      </c>
      <c r="B214" s="108" t="s">
        <v>162</v>
      </c>
      <c r="C214" s="8">
        <v>8.0899999999999963</v>
      </c>
      <c r="D214" s="8">
        <v>0.373</v>
      </c>
      <c r="E214" s="8">
        <v>2.8099999999999983E-3</v>
      </c>
      <c r="F214" s="62"/>
      <c r="G214" s="62"/>
      <c r="P214" s="45"/>
    </row>
    <row r="215" spans="1:16" ht="15" x14ac:dyDescent="0.25">
      <c r="A215" s="1" t="s">
        <v>195</v>
      </c>
      <c r="B215" s="108" t="s">
        <v>162</v>
      </c>
      <c r="C215" s="8">
        <v>54.399999999999991</v>
      </c>
      <c r="D215" s="8">
        <v>0.50600000000000001</v>
      </c>
      <c r="E215" s="8">
        <v>5.9100000000000003E-3</v>
      </c>
      <c r="F215" s="62"/>
      <c r="G215" s="62"/>
      <c r="P215" s="45"/>
    </row>
    <row r="216" spans="1:16" x14ac:dyDescent="0.2">
      <c r="A216" s="1" t="s">
        <v>309</v>
      </c>
      <c r="B216" s="108" t="s">
        <v>164</v>
      </c>
      <c r="C216" s="127">
        <f>C215/C15</f>
        <v>1.2088888888888887</v>
      </c>
      <c r="D216" s="44">
        <f>D215/C15</f>
        <v>1.1244444444444444E-2</v>
      </c>
      <c r="E216" s="44">
        <f>E215/D15</f>
        <v>1.3133333333333335E-4</v>
      </c>
    </row>
    <row r="217" spans="1:16" x14ac:dyDescent="0.2">
      <c r="A217" s="9" t="s">
        <v>82</v>
      </c>
      <c r="B217" s="108" t="s">
        <v>163</v>
      </c>
      <c r="C217" s="8">
        <v>8.1099999999999977</v>
      </c>
      <c r="D217" s="8">
        <v>0.53000000000000014</v>
      </c>
      <c r="E217" s="8">
        <v>1.15E-3</v>
      </c>
    </row>
    <row r="218" spans="1:16" x14ac:dyDescent="0.2">
      <c r="A218" s="9" t="s">
        <v>83</v>
      </c>
      <c r="B218" s="108" t="s">
        <v>162</v>
      </c>
      <c r="C218" s="8">
        <v>93.400000000000091</v>
      </c>
      <c r="D218" s="8">
        <v>2.6600000000000006</v>
      </c>
      <c r="E218" s="8">
        <v>1.4100000000000003E-2</v>
      </c>
      <c r="F218" s="65"/>
      <c r="G218" s="62"/>
    </row>
    <row r="219" spans="1:16" ht="15" x14ac:dyDescent="0.25">
      <c r="A219" s="1" t="s">
        <v>159</v>
      </c>
      <c r="B219" s="108" t="s">
        <v>163</v>
      </c>
      <c r="C219" s="45" t="s">
        <v>10</v>
      </c>
      <c r="D219" s="45" t="s">
        <v>10</v>
      </c>
      <c r="E219" s="8">
        <v>7.5799999999999991E-3</v>
      </c>
      <c r="F219" s="62"/>
      <c r="G219" s="62"/>
    </row>
    <row r="220" spans="1:16" x14ac:dyDescent="0.2">
      <c r="A220" s="1" t="s">
        <v>308</v>
      </c>
      <c r="B220" s="108" t="s">
        <v>164</v>
      </c>
      <c r="C220" s="8">
        <v>3.3899999999999997</v>
      </c>
      <c r="D220" s="8">
        <v>0.20999999999999996</v>
      </c>
      <c r="E220" s="8">
        <v>5.9399999999999991E-4</v>
      </c>
      <c r="F220" s="62"/>
      <c r="G220" s="62"/>
    </row>
    <row r="221" spans="1:16" x14ac:dyDescent="0.2">
      <c r="A221" s="16" t="s">
        <v>216</v>
      </c>
      <c r="B221" s="109"/>
      <c r="C221" s="12"/>
      <c r="D221" s="12"/>
      <c r="E221" s="12"/>
      <c r="G221" s="62"/>
    </row>
    <row r="222" spans="1:16" x14ac:dyDescent="0.2">
      <c r="A222" s="1" t="s">
        <v>324</v>
      </c>
      <c r="B222" s="108" t="s">
        <v>271</v>
      </c>
      <c r="C222" s="123">
        <f>C220*D42</f>
        <v>675.06764999999996</v>
      </c>
      <c r="D222" s="30">
        <f>D220*D42</f>
        <v>41.818349999999988</v>
      </c>
      <c r="E222" s="41">
        <f>E220*E42</f>
        <v>0.11828618999999997</v>
      </c>
      <c r="F222" s="71"/>
      <c r="G222" s="62"/>
    </row>
    <row r="223" spans="1:16" x14ac:dyDescent="0.2">
      <c r="A223" s="1" t="s">
        <v>316</v>
      </c>
      <c r="B223" s="108" t="s">
        <v>105</v>
      </c>
      <c r="C223" s="23">
        <f>37440+43416.073</f>
        <v>80856.073000000004</v>
      </c>
      <c r="D223" s="23">
        <f>709.3+2681.35</f>
        <v>3390.6499999999996</v>
      </c>
      <c r="E223" s="31">
        <v>3.71</v>
      </c>
      <c r="G223" s="62"/>
    </row>
    <row r="224" spans="1:16" ht="15" x14ac:dyDescent="0.25">
      <c r="A224" s="1" t="s">
        <v>314</v>
      </c>
      <c r="B224" s="108" t="s">
        <v>106</v>
      </c>
      <c r="C224" s="2" t="s">
        <v>10</v>
      </c>
      <c r="D224" s="56">
        <f>(0.000079)+(0.00089)</f>
        <v>9.6899999999999992E-4</v>
      </c>
      <c r="E224" s="45" t="s">
        <v>10</v>
      </c>
      <c r="F224" s="62"/>
    </row>
    <row r="225" spans="1:6" ht="15" x14ac:dyDescent="0.25">
      <c r="A225" s="1" t="s">
        <v>315</v>
      </c>
      <c r="B225" s="108" t="s">
        <v>68</v>
      </c>
      <c r="C225" s="2" t="s">
        <v>10</v>
      </c>
      <c r="D225" s="2">
        <v>7.0499999999999993E-2</v>
      </c>
      <c r="E225" s="45" t="s">
        <v>10</v>
      </c>
      <c r="F225" s="69"/>
    </row>
    <row r="226" spans="1:6" ht="15" x14ac:dyDescent="0.25">
      <c r="A226" s="1" t="s">
        <v>320</v>
      </c>
      <c r="B226" s="108" t="s">
        <v>163</v>
      </c>
      <c r="C226" s="2">
        <v>1.1617</v>
      </c>
      <c r="D226" s="2">
        <f>0.3391+0.0925+0.4104</f>
        <v>0.84199999999999997</v>
      </c>
      <c r="E226" s="45" t="s">
        <v>10</v>
      </c>
    </row>
    <row r="227" spans="1:6" x14ac:dyDescent="0.2">
      <c r="A227" s="1" t="s">
        <v>321</v>
      </c>
      <c r="B227" s="108" t="s">
        <v>163</v>
      </c>
      <c r="C227" s="127">
        <f>C226*C220</f>
        <v>3.9381629999999994</v>
      </c>
      <c r="D227" s="36">
        <f>D226+D220*C226</f>
        <v>1.0859569999999998</v>
      </c>
    </row>
    <row r="228" spans="1:6" x14ac:dyDescent="0.2">
      <c r="A228" s="13" t="s">
        <v>290</v>
      </c>
      <c r="B228" s="111"/>
    </row>
    <row r="229" spans="1:6" x14ac:dyDescent="0.2">
      <c r="A229" s="101" t="s">
        <v>291</v>
      </c>
      <c r="B229" s="111"/>
    </row>
    <row r="231" spans="1:6" x14ac:dyDescent="0.2">
      <c r="B231" s="112"/>
      <c r="E231" s="30"/>
    </row>
    <row r="232" spans="1:6" x14ac:dyDescent="0.2">
      <c r="A232" s="9"/>
      <c r="E232" s="30"/>
    </row>
  </sheetData>
  <mergeCells count="21">
    <mergeCell ref="P2:T2"/>
    <mergeCell ref="G2:N2"/>
    <mergeCell ref="A170:A171"/>
    <mergeCell ref="A15:A16"/>
    <mergeCell ref="F169:H169"/>
    <mergeCell ref="J52:K52"/>
    <mergeCell ref="L52:N52"/>
    <mergeCell ref="G30:G31"/>
    <mergeCell ref="G52:G53"/>
    <mergeCell ref="H52:I52"/>
    <mergeCell ref="H30:I30"/>
    <mergeCell ref="J30:K30"/>
    <mergeCell ref="L30:N30"/>
    <mergeCell ref="A168:A169"/>
    <mergeCell ref="G29:N29"/>
    <mergeCell ref="G51:N51"/>
    <mergeCell ref="G1:N1"/>
    <mergeCell ref="G3:G4"/>
    <mergeCell ref="H3:I3"/>
    <mergeCell ref="J3:K3"/>
    <mergeCell ref="L3:N3"/>
  </mergeCells>
  <pageMargins left="0.7" right="0.7" top="0.75" bottom="0.75" header="0.3" footer="0.3"/>
  <pageSetup scale="3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6"/>
  <sheetViews>
    <sheetView workbookViewId="0">
      <selection activeCell="B4" sqref="B4"/>
    </sheetView>
  </sheetViews>
  <sheetFormatPr defaultRowHeight="15" x14ac:dyDescent="0.25"/>
  <cols>
    <col min="2" max="2" width="128" customWidth="1"/>
  </cols>
  <sheetData>
    <row r="3" spans="2:2" ht="21" x14ac:dyDescent="0.35">
      <c r="B3" s="148" t="s">
        <v>333</v>
      </c>
    </row>
    <row r="4" spans="2:2" x14ac:dyDescent="0.25">
      <c r="B4" s="139" t="s">
        <v>334</v>
      </c>
    </row>
    <row r="5" spans="2:2" x14ac:dyDescent="0.25">
      <c r="B5" t="s">
        <v>335</v>
      </c>
    </row>
    <row r="7" spans="2:2" ht="39" x14ac:dyDescent="0.25">
      <c r="B7" s="141" t="s">
        <v>336</v>
      </c>
    </row>
    <row r="8" spans="2:2" x14ac:dyDescent="0.25">
      <c r="B8" s="140"/>
    </row>
    <row r="9" spans="2:2" x14ac:dyDescent="0.25">
      <c r="B9" s="142" t="s">
        <v>337</v>
      </c>
    </row>
    <row r="10" spans="2:2" x14ac:dyDescent="0.25">
      <c r="B10" s="143" t="s">
        <v>338</v>
      </c>
    </row>
    <row r="11" spans="2:2" x14ac:dyDescent="0.25">
      <c r="B11" s="143" t="s">
        <v>339</v>
      </c>
    </row>
    <row r="12" spans="2:2" x14ac:dyDescent="0.25">
      <c r="B12" s="144" t="s">
        <v>340</v>
      </c>
    </row>
    <row r="13" spans="2:2" x14ac:dyDescent="0.25">
      <c r="B13" s="145" t="s">
        <v>341</v>
      </c>
    </row>
    <row r="14" spans="2:2" x14ac:dyDescent="0.25">
      <c r="B14" s="146" t="s">
        <v>342</v>
      </c>
    </row>
    <row r="15" spans="2:2" x14ac:dyDescent="0.25">
      <c r="B15" s="145" t="s">
        <v>343</v>
      </c>
    </row>
    <row r="16" spans="2:2" x14ac:dyDescent="0.25">
      <c r="B16" s="147" t="s">
        <v>344</v>
      </c>
    </row>
  </sheetData>
  <hyperlinks>
    <hyperlink ref="B4" r:id="rId1"/>
    <hyperlink ref="B16" r:id="rId2" display="mailto:andres@virginia.edu"/>
  </hyperlinks>
  <pageMargins left="0.7" right="0.7" top="0.75" bottom="0.75" header="0.3" footer="0.3"/>
  <pageSetup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LCA Model</vt:lpstr>
      <vt:lpstr>Documentation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labuser</dc:creator>
  <cp:lastModifiedBy>Jason Lillywhite</cp:lastModifiedBy>
  <cp:lastPrinted>2016-04-18T19:22:01Z</cp:lastPrinted>
  <dcterms:created xsi:type="dcterms:W3CDTF">2015-07-10T15:32:46Z</dcterms:created>
  <dcterms:modified xsi:type="dcterms:W3CDTF">2017-08-31T14:07:25Z</dcterms:modified>
</cp:coreProperties>
</file>